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9170" windowHeight="9225" activeTab="1"/>
  </bookViews>
  <sheets>
    <sheet name="PTh-234" sheetId="1" r:id="rId1"/>
    <sheet name="TTh-234" sheetId="2" r:id="rId2"/>
    <sheet name="Th recovery" sheetId="3" r:id="rId3"/>
    <sheet name="Beta eff." sheetId="4" r:id="rId4"/>
    <sheet name="weight cali" sheetId="5" r:id="rId5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PHCai</author>
    <author>user</author>
  </authors>
  <commentList>
    <comment ref="C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Particle filtration</t>
        </r>
      </text>
    </comment>
    <comment ref="F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minutes</t>
        </r>
      </text>
    </comment>
    <comment ref="G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unit: total count rate (cpm).</t>
        </r>
      </text>
    </comment>
    <comment ref="H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unit: cpm</t>
        </r>
      </text>
    </comment>
    <comment ref="M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unit: cpm</t>
        </r>
      </text>
    </comment>
    <comment ref="N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Unit: cpm</t>
        </r>
      </text>
    </comment>
    <comment ref="P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assume an error of 3%.</t>
        </r>
      </text>
    </comment>
    <comment ref="R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From the midpoint of counting to the midpoint of filtration.</t>
        </r>
      </text>
    </comment>
    <comment ref="S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not recovery-corrected</t>
        </r>
      </text>
    </comment>
    <comment ref="V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relative efficiency determined by using 238U standard.</t>
        </r>
      </text>
    </comment>
    <comment ref="W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assumed efficiency</t>
        </r>
      </text>
    </comment>
    <comment ref="AB3" authorId="1">
      <text>
        <r>
          <rPr>
            <b/>
            <sz val="9"/>
            <rFont val="宋体"/>
            <family val="0"/>
          </rPr>
          <t>PHCai:</t>
        </r>
        <r>
          <rPr>
            <sz val="9"/>
            <rFont val="宋体"/>
            <family val="0"/>
          </rPr>
          <t xml:space="preserve">
blank corrected</t>
        </r>
      </text>
    </comment>
    <comment ref="AF3" authorId="1">
      <text>
        <r>
          <rPr>
            <b/>
            <sz val="9"/>
            <rFont val="宋体"/>
            <family val="0"/>
          </rPr>
          <t>PHCai:</t>
        </r>
        <r>
          <rPr>
            <sz val="9"/>
            <rFont val="宋体"/>
            <family val="0"/>
          </rPr>
          <t xml:space="preserve">
Normalized with 1.3+-0.24</t>
        </r>
      </text>
    </comment>
    <comment ref="AD3" authorId="1">
      <text>
        <r>
          <rPr>
            <b/>
            <sz val="9"/>
            <rFont val="宋体"/>
            <family val="0"/>
          </rPr>
          <t>PHCai:</t>
        </r>
        <r>
          <rPr>
            <sz val="9"/>
            <rFont val="宋体"/>
            <family val="0"/>
          </rPr>
          <t xml:space="preserve">
on total suspended particles</t>
        </r>
      </text>
    </comment>
    <comment ref="X2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Error associated with the counting efficiency</t>
        </r>
      </text>
    </comment>
  </commentList>
</comments>
</file>

<file path=xl/comments2.xml><?xml version="1.0" encoding="utf-8"?>
<comments xmlns="http://schemas.openxmlformats.org/spreadsheetml/2006/main">
  <authors>
    <author>User</author>
    <author>QQHong</author>
  </authors>
  <commentList>
    <comment ref="F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minutes</t>
        </r>
      </text>
    </comment>
    <comment ref="G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unit: total count rate (cpm).</t>
        </r>
      </text>
    </comment>
    <comment ref="H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unit: cpm</t>
        </r>
      </text>
    </comment>
    <comment ref="P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assume an error of 3%.</t>
        </r>
      </text>
    </comment>
    <comment ref="R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From the midpoint of counting to the midpoint of filtration.</t>
        </r>
      </text>
    </comment>
    <comment ref="S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not recovery-corrected</t>
        </r>
      </text>
    </comment>
    <comment ref="U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 recovery-corrected</t>
        </r>
      </text>
    </comment>
    <comment ref="X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relative efficiency determined by using 238U standard.</t>
        </r>
        <r>
          <rPr>
            <sz val="9"/>
            <rFont val="宋体"/>
            <family val="0"/>
          </rPr>
          <t xml:space="preserve"> It has not been detected by now.</t>
        </r>
      </text>
    </comment>
    <comment ref="Y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assumed efficiency</t>
        </r>
      </text>
    </comment>
    <comment ref="C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MnO2 filtration</t>
        </r>
      </text>
    </comment>
    <comment ref="M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unit: cpm</t>
        </r>
      </text>
    </comment>
    <comment ref="N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Unit: cpm</t>
        </r>
      </text>
    </comment>
    <comment ref="AL6" authorId="1">
      <text>
        <r>
          <rPr>
            <b/>
            <sz val="9"/>
            <rFont val="宋体"/>
            <family val="0"/>
          </rPr>
          <t>QQHong:</t>
        </r>
        <r>
          <rPr>
            <sz val="9"/>
            <rFont val="宋体"/>
            <family val="0"/>
          </rPr>
          <t xml:space="preserve">
what dose P here reprensent?</t>
        </r>
      </text>
    </comment>
    <comment ref="A11" authorId="1">
      <text>
        <r>
          <rPr>
            <b/>
            <sz val="9"/>
            <rFont val="宋体"/>
            <family val="0"/>
          </rPr>
          <t>QQHong:</t>
        </r>
        <r>
          <rPr>
            <sz val="9"/>
            <rFont val="宋体"/>
            <family val="0"/>
          </rPr>
          <t xml:space="preserve">
处理过程中未出异常情况，但营养盐、TSM、无机碳等相关参数均出现异常，初步决定舍弃该点</t>
        </r>
      </text>
    </comment>
    <comment ref="A7" authorId="1">
      <text>
        <r>
          <rPr>
            <b/>
            <sz val="9"/>
            <rFont val="宋体"/>
            <family val="0"/>
          </rPr>
          <t>QQHong:</t>
        </r>
        <r>
          <rPr>
            <sz val="9"/>
            <rFont val="宋体"/>
            <family val="0"/>
          </rPr>
          <t xml:space="preserve">
已更新本底值</t>
        </r>
      </text>
    </comment>
    <comment ref="AR6" authorId="1">
      <text>
        <r>
          <rPr>
            <b/>
            <sz val="9"/>
            <rFont val="宋体"/>
            <family val="0"/>
          </rPr>
          <t>QQHong:</t>
        </r>
        <r>
          <rPr>
            <sz val="9"/>
            <rFont val="宋体"/>
            <family val="0"/>
          </rPr>
          <t xml:space="preserve">
unit: mmolC/m2/d</t>
        </r>
      </text>
    </comment>
  </commentList>
</comments>
</file>

<file path=xl/comments3.xml><?xml version="1.0" encoding="utf-8"?>
<comments xmlns="http://schemas.openxmlformats.org/spreadsheetml/2006/main">
  <authors>
    <author>QQHong</author>
  </authors>
  <commentList>
    <comment ref="D5" authorId="0">
      <text>
        <r>
          <rPr>
            <b/>
            <sz val="9"/>
            <rFont val="宋体"/>
            <family val="0"/>
          </rPr>
          <t>QQHong:</t>
        </r>
        <r>
          <rPr>
            <sz val="9"/>
            <rFont val="宋体"/>
            <family val="0"/>
          </rPr>
          <t xml:space="preserve">
atomic number（assuming a Th-230 half-life of 77,000 a）</t>
        </r>
      </text>
    </comment>
    <comment ref="F5" authorId="0">
      <text>
        <r>
          <rPr>
            <b/>
            <sz val="9"/>
            <rFont val="宋体"/>
            <family val="0"/>
          </rPr>
          <t>QQHong:</t>
        </r>
        <r>
          <rPr>
            <sz val="9"/>
            <rFont val="宋体"/>
            <family val="0"/>
          </rPr>
          <t xml:space="preserve">
weight （g）</t>
        </r>
      </text>
    </comment>
    <comment ref="G5" authorId="0">
      <text>
        <r>
          <rPr>
            <b/>
            <sz val="9"/>
            <rFont val="宋体"/>
            <family val="0"/>
          </rPr>
          <t>QQHong:</t>
        </r>
        <r>
          <rPr>
            <sz val="9"/>
            <rFont val="宋体"/>
            <family val="0"/>
          </rPr>
          <t xml:space="preserve">
atomic number</t>
        </r>
      </text>
    </comment>
    <comment ref="I5" authorId="0">
      <text>
        <r>
          <rPr>
            <b/>
            <sz val="9"/>
            <rFont val="宋体"/>
            <family val="0"/>
          </rPr>
          <t>QQHong:measured</t>
        </r>
        <r>
          <rPr>
            <sz val="9"/>
            <rFont val="宋体"/>
            <family val="0"/>
          </rPr>
          <t xml:space="preserve">
</t>
        </r>
      </text>
    </comment>
    <comment ref="K5" authorId="0">
      <text>
        <r>
          <rPr>
            <b/>
            <sz val="9"/>
            <rFont val="宋体"/>
            <family val="0"/>
          </rPr>
          <t>QQHong:</t>
        </r>
        <r>
          <rPr>
            <sz val="9"/>
            <rFont val="宋体"/>
            <family val="0"/>
          </rPr>
          <t xml:space="preserve">
atomic number</t>
        </r>
      </text>
    </comment>
  </commentList>
</comments>
</file>

<file path=xl/comments5.xml><?xml version="1.0" encoding="utf-8"?>
<comments xmlns="http://schemas.openxmlformats.org/spreadsheetml/2006/main">
  <authors>
    <author>QQHong</author>
  </authors>
  <commentList>
    <comment ref="G5" authorId="0">
      <text>
        <r>
          <rPr>
            <b/>
            <sz val="9"/>
            <rFont val="宋体"/>
            <family val="0"/>
          </rPr>
          <t>QQHong:</t>
        </r>
        <r>
          <rPr>
            <sz val="9"/>
            <rFont val="宋体"/>
            <family val="0"/>
          </rPr>
          <t xml:space="preserve">
weight （g）</t>
        </r>
      </text>
    </comment>
    <comment ref="H5" authorId="0">
      <text>
        <r>
          <rPr>
            <b/>
            <sz val="9"/>
            <rFont val="宋体"/>
            <family val="0"/>
          </rPr>
          <t>QQHong:</t>
        </r>
        <r>
          <rPr>
            <sz val="9"/>
            <rFont val="宋体"/>
            <family val="0"/>
          </rPr>
          <t xml:space="preserve">
atomic number</t>
        </r>
      </text>
    </comment>
    <comment ref="I5" authorId="0">
      <text>
        <r>
          <rPr>
            <b/>
            <sz val="9"/>
            <rFont val="宋体"/>
            <family val="0"/>
          </rPr>
          <t>QQHong:</t>
        </r>
        <r>
          <rPr>
            <sz val="9"/>
            <rFont val="宋体"/>
            <family val="0"/>
          </rPr>
          <t xml:space="preserve">
measured ratio of atomic number by ICP MS (LR)</t>
        </r>
      </text>
    </comment>
    <comment ref="K5" authorId="0">
      <text>
        <r>
          <rPr>
            <b/>
            <sz val="9"/>
            <rFont val="宋体"/>
            <family val="0"/>
          </rPr>
          <t>QQHong:</t>
        </r>
        <r>
          <rPr>
            <sz val="9"/>
            <rFont val="宋体"/>
            <family val="0"/>
          </rPr>
          <t xml:space="preserve">
measured atom number</t>
        </r>
      </text>
    </comment>
    <comment ref="M5" authorId="0">
      <text>
        <r>
          <rPr>
            <b/>
            <sz val="9"/>
            <rFont val="宋体"/>
            <family val="0"/>
          </rPr>
          <t>QQHong:</t>
        </r>
        <r>
          <rPr>
            <sz val="9"/>
            <rFont val="宋体"/>
            <family val="0"/>
          </rPr>
          <t xml:space="preserve">
weight （g）</t>
        </r>
      </text>
    </comment>
    <comment ref="N5" authorId="0">
      <text>
        <r>
          <rPr>
            <b/>
            <sz val="9"/>
            <rFont val="宋体"/>
            <family val="0"/>
          </rPr>
          <t>QQHong:</t>
        </r>
        <r>
          <rPr>
            <sz val="9"/>
            <rFont val="宋体"/>
            <family val="0"/>
          </rPr>
          <t xml:space="preserve">
atomic number/g</t>
        </r>
      </text>
    </comment>
    <comment ref="P5" authorId="0">
      <text>
        <r>
          <rPr>
            <b/>
            <sz val="9"/>
            <rFont val="宋体"/>
            <family val="0"/>
          </rPr>
          <t>QQHong:</t>
        </r>
        <r>
          <rPr>
            <sz val="9"/>
            <rFont val="宋体"/>
            <family val="0"/>
          </rPr>
          <t xml:space="preserve">
dpm/g</t>
        </r>
      </text>
    </comment>
    <comment ref="C26" authorId="0">
      <text>
        <r>
          <rPr>
            <b/>
            <sz val="9"/>
            <rFont val="宋体"/>
            <family val="0"/>
          </rPr>
          <t>QQHong:</t>
        </r>
        <r>
          <rPr>
            <sz val="9"/>
            <rFont val="宋体"/>
            <family val="0"/>
          </rPr>
          <t xml:space="preserve">
standard deviation</t>
        </r>
      </text>
    </comment>
    <comment ref="B26" authorId="0">
      <text>
        <r>
          <rPr>
            <b/>
            <sz val="9"/>
            <rFont val="宋体"/>
            <family val="0"/>
          </rPr>
          <t>QQHong:</t>
        </r>
        <r>
          <rPr>
            <sz val="9"/>
            <rFont val="宋体"/>
            <family val="0"/>
          </rPr>
          <t xml:space="preserve">
average</t>
        </r>
      </text>
    </comment>
    <comment ref="N11" authorId="0">
      <text>
        <r>
          <rPr>
            <b/>
            <sz val="9"/>
            <rFont val="宋体"/>
            <family val="0"/>
          </rPr>
          <t>QQHong:</t>
        </r>
        <r>
          <rPr>
            <sz val="9"/>
            <rFont val="宋体"/>
            <family val="0"/>
          </rPr>
          <t xml:space="preserve">
calibration result</t>
        </r>
      </text>
    </comment>
    <comment ref="N17" authorId="0">
      <text>
        <r>
          <rPr>
            <b/>
            <sz val="9"/>
            <rFont val="宋体"/>
            <family val="0"/>
          </rPr>
          <t>QQHong:</t>
        </r>
        <r>
          <rPr>
            <sz val="9"/>
            <rFont val="宋体"/>
            <family val="0"/>
          </rPr>
          <t xml:space="preserve">
calibration result</t>
        </r>
      </text>
    </comment>
    <comment ref="D26" authorId="0">
      <text>
        <r>
          <rPr>
            <b/>
            <sz val="9"/>
            <rFont val="宋体"/>
            <family val="0"/>
          </rPr>
          <t>QQHong:</t>
        </r>
        <r>
          <rPr>
            <sz val="9"/>
            <rFont val="宋体"/>
            <family val="0"/>
          </rPr>
          <t xml:space="preserve">
average</t>
        </r>
      </text>
    </comment>
    <comment ref="E26" authorId="0">
      <text>
        <r>
          <rPr>
            <b/>
            <sz val="9"/>
            <rFont val="宋体"/>
            <family val="0"/>
          </rPr>
          <t>QQHong:</t>
        </r>
        <r>
          <rPr>
            <sz val="9"/>
            <rFont val="宋体"/>
            <family val="0"/>
          </rPr>
          <t xml:space="preserve">
standard deviation</t>
        </r>
      </text>
    </comment>
  </commentList>
</comments>
</file>

<file path=xl/sharedStrings.xml><?xml version="1.0" encoding="utf-8"?>
<sst xmlns="http://schemas.openxmlformats.org/spreadsheetml/2006/main" count="198" uniqueCount="137">
  <si>
    <t>Sample I.D.</t>
  </si>
  <si>
    <t>Sampling time</t>
  </si>
  <si>
    <t>Midpoint for filtr.</t>
  </si>
  <si>
    <t>Recovery</t>
  </si>
  <si>
    <t>error</t>
  </si>
  <si>
    <t>Volume (L)</t>
  </si>
  <si>
    <t>n ctr/L@filt</t>
  </si>
  <si>
    <t>DEC#</t>
  </si>
  <si>
    <t>dpm/L @ filt.</t>
  </si>
  <si>
    <t>Salinity</t>
  </si>
  <si>
    <t>Uranium dpm/L</t>
  </si>
  <si>
    <t>Ingrowth dpm/L</t>
  </si>
  <si>
    <t>decay/filt. to coll.</t>
  </si>
  <si>
    <t>dpm/L @coll.</t>
  </si>
  <si>
    <t>P (dpm/m2)</t>
  </si>
  <si>
    <t>Depth (m)</t>
  </si>
  <si>
    <t xml:space="preserve">Counting Time </t>
  </si>
  <si>
    <t xml:space="preserve">First count rate </t>
  </si>
  <si>
    <t xml:space="preserve">error </t>
  </si>
  <si>
    <t xml:space="preserve">Background </t>
  </si>
  <si>
    <t>error</t>
  </si>
  <si>
    <t>Net count rate</t>
  </si>
  <si>
    <t xml:space="preserve">error </t>
  </si>
  <si>
    <t xml:space="preserve">Dec. eff. </t>
  </si>
  <si>
    <t>Decay time (d)</t>
  </si>
  <si>
    <t>Midpoint for counting</t>
  </si>
  <si>
    <t xml:space="preserve"> Total counts </t>
  </si>
  <si>
    <t>Backgr. Count</t>
  </si>
  <si>
    <t>Counting time</t>
  </si>
  <si>
    <r>
      <t>230</t>
    </r>
    <r>
      <rPr>
        <sz val="11"/>
        <rFont val="Times New Roman"/>
        <family val="1"/>
      </rPr>
      <t>Th added</t>
    </r>
  </si>
  <si>
    <r>
      <t>229</t>
    </r>
    <r>
      <rPr>
        <sz val="11"/>
        <rFont val="Times New Roman"/>
        <family val="1"/>
      </rPr>
      <t>Th added</t>
    </r>
  </si>
  <si>
    <r>
      <t>230</t>
    </r>
    <r>
      <rPr>
        <sz val="11"/>
        <rFont val="Times New Roman"/>
        <family val="1"/>
      </rPr>
      <t>Th/</t>
    </r>
    <r>
      <rPr>
        <vertAlign val="superscript"/>
        <sz val="11"/>
        <rFont val="Times New Roman"/>
        <family val="1"/>
      </rPr>
      <t>229</t>
    </r>
    <r>
      <rPr>
        <sz val="11"/>
        <rFont val="Times New Roman"/>
        <family val="1"/>
      </rPr>
      <t xml:space="preserve">Th </t>
    </r>
  </si>
  <si>
    <t>error</t>
  </si>
  <si>
    <r>
      <t>230</t>
    </r>
    <r>
      <rPr>
        <sz val="11"/>
        <rFont val="Times New Roman"/>
        <family val="1"/>
      </rPr>
      <t>Th measured</t>
    </r>
  </si>
  <si>
    <r>
      <t>230</t>
    </r>
    <r>
      <rPr>
        <sz val="11"/>
        <rFont val="Times New Roman"/>
        <family val="1"/>
      </rPr>
      <t>Th Recovery</t>
    </r>
  </si>
  <si>
    <t>Midpoint for counting</t>
  </si>
  <si>
    <t xml:space="preserve"> Total counts </t>
  </si>
  <si>
    <t xml:space="preserve">Counting Time </t>
  </si>
  <si>
    <t xml:space="preserve">First count rate </t>
  </si>
  <si>
    <t xml:space="preserve">error </t>
  </si>
  <si>
    <t>Backgr. Count</t>
  </si>
  <si>
    <t>Counting time</t>
  </si>
  <si>
    <t xml:space="preserve">Background </t>
  </si>
  <si>
    <t>error</t>
  </si>
  <si>
    <t>Net count rate</t>
  </si>
  <si>
    <t>Decay time (d)</t>
  </si>
  <si>
    <t xml:space="preserve">Dec. eff. </t>
  </si>
  <si>
    <t>234Th/238U</t>
  </si>
  <si>
    <t>Error (dpm/m2/d)</t>
  </si>
  <si>
    <t>Backgr. Average</t>
  </si>
  <si>
    <t xml:space="preserve">Blank </t>
  </si>
  <si>
    <r>
      <t>Total POC (</t>
    </r>
    <r>
      <rPr>
        <sz val="11"/>
        <color indexed="10"/>
        <rFont val="Symbol"/>
        <family val="1"/>
      </rPr>
      <t>m</t>
    </r>
    <r>
      <rPr>
        <sz val="11"/>
        <color indexed="10"/>
        <rFont val="Times New Roman"/>
        <family val="1"/>
      </rPr>
      <t>g)</t>
    </r>
  </si>
  <si>
    <r>
      <t>POC con. (</t>
    </r>
    <r>
      <rPr>
        <sz val="11"/>
        <color indexed="10"/>
        <rFont val="Symbol"/>
        <family val="1"/>
      </rPr>
      <t>m</t>
    </r>
    <r>
      <rPr>
        <sz val="11"/>
        <color indexed="10"/>
        <rFont val="Times New Roman"/>
        <family val="1"/>
      </rPr>
      <t>mol/L)</t>
    </r>
  </si>
  <si>
    <r>
      <t>POC/</t>
    </r>
    <r>
      <rPr>
        <vertAlign val="superscript"/>
        <sz val="11"/>
        <color indexed="10"/>
        <rFont val="Times New Roman"/>
        <family val="1"/>
      </rPr>
      <t>234</t>
    </r>
    <r>
      <rPr>
        <sz val="11"/>
        <color indexed="10"/>
        <rFont val="Times New Roman"/>
        <family val="1"/>
      </rPr>
      <t>Th</t>
    </r>
  </si>
  <si>
    <r>
      <t>POC (</t>
    </r>
    <r>
      <rPr>
        <sz val="11"/>
        <color indexed="10"/>
        <rFont val="Symbol"/>
        <family val="1"/>
      </rPr>
      <t>m</t>
    </r>
    <r>
      <rPr>
        <sz val="11"/>
        <color indexed="10"/>
        <rFont val="Times New Roman"/>
        <family val="1"/>
      </rPr>
      <t>g)</t>
    </r>
  </si>
  <si>
    <t>POC flux</t>
  </si>
  <si>
    <t>Recovery measurements were not conducted by now.</t>
  </si>
  <si>
    <t>T-A2-5 m</t>
  </si>
  <si>
    <t>T-A2-25 m</t>
  </si>
  <si>
    <t>T-A2-50 m</t>
  </si>
  <si>
    <t>T-A2-75 m</t>
  </si>
  <si>
    <t>T-A2-100 m</t>
  </si>
  <si>
    <t>T-A2-125 m</t>
  </si>
  <si>
    <t>T-A2-150 m</t>
  </si>
  <si>
    <t>T-A2-200 m</t>
  </si>
  <si>
    <t>T-A2-250 m</t>
  </si>
  <si>
    <t>T-A2-300 m</t>
  </si>
  <si>
    <t>T-A2-380 m</t>
  </si>
  <si>
    <t>P-A2-5 m</t>
  </si>
  <si>
    <t>P-A2-25 m</t>
  </si>
  <si>
    <t>P-A2-50 m</t>
  </si>
  <si>
    <t>P-A2-75 m</t>
  </si>
  <si>
    <t>P-A2-100 m</t>
  </si>
  <si>
    <t>P-A2-125 m</t>
  </si>
  <si>
    <t>P-A2-150 m</t>
  </si>
  <si>
    <t>P-A2-200 m</t>
  </si>
  <si>
    <t>P-A2-250 m</t>
  </si>
  <si>
    <t>P-A2-300 m</t>
  </si>
  <si>
    <t>P-A2-380 m</t>
  </si>
  <si>
    <r>
      <rPr>
        <sz val="11"/>
        <rFont val="Arial Unicode MS"/>
        <family val="2"/>
      </rPr>
      <t>Ⅱ</t>
    </r>
    <r>
      <rPr>
        <sz val="11"/>
        <rFont val="Times New Roman"/>
        <family val="1"/>
      </rPr>
      <t>-</t>
    </r>
    <r>
      <rPr>
        <sz val="11"/>
        <rFont val="Arial Unicode MS"/>
        <family val="2"/>
      </rPr>
      <t>Ⅰ</t>
    </r>
    <r>
      <rPr>
        <sz val="11"/>
        <rFont val="Times New Roman"/>
        <family val="1"/>
      </rPr>
      <t>-2</t>
    </r>
  </si>
  <si>
    <r>
      <rPr>
        <sz val="11"/>
        <rFont val="Arial Unicode MS"/>
        <family val="2"/>
      </rPr>
      <t>Ⅱ</t>
    </r>
    <r>
      <rPr>
        <sz val="11"/>
        <rFont val="Times New Roman"/>
        <family val="1"/>
      </rPr>
      <t>-</t>
    </r>
    <r>
      <rPr>
        <sz val="11"/>
        <rFont val="Arial Unicode MS"/>
        <family val="2"/>
      </rPr>
      <t>Ⅰ</t>
    </r>
    <r>
      <rPr>
        <sz val="11"/>
        <rFont val="Times New Roman"/>
        <family val="1"/>
      </rPr>
      <t>-3</t>
    </r>
  </si>
  <si>
    <r>
      <rPr>
        <sz val="11"/>
        <rFont val="Arial Unicode MS"/>
        <family val="2"/>
      </rPr>
      <t>Ⅱ</t>
    </r>
    <r>
      <rPr>
        <sz val="11"/>
        <rFont val="Times New Roman"/>
        <family val="1"/>
      </rPr>
      <t>-</t>
    </r>
    <r>
      <rPr>
        <sz val="11"/>
        <rFont val="Arial Unicode MS"/>
        <family val="2"/>
      </rPr>
      <t>Ⅰ</t>
    </r>
    <r>
      <rPr>
        <sz val="11"/>
        <rFont val="Times New Roman"/>
        <family val="1"/>
      </rPr>
      <t>-4</t>
    </r>
  </si>
  <si>
    <r>
      <rPr>
        <sz val="11"/>
        <rFont val="Arial Unicode MS"/>
        <family val="2"/>
      </rPr>
      <t>Ⅱ</t>
    </r>
    <r>
      <rPr>
        <sz val="11"/>
        <rFont val="Times New Roman"/>
        <family val="1"/>
      </rPr>
      <t>-</t>
    </r>
    <r>
      <rPr>
        <sz val="11"/>
        <rFont val="Arial Unicode MS"/>
        <family val="2"/>
      </rPr>
      <t>Ⅰ</t>
    </r>
    <r>
      <rPr>
        <sz val="11"/>
        <rFont val="Times New Roman"/>
        <family val="1"/>
      </rPr>
      <t>-5</t>
    </r>
  </si>
  <si>
    <r>
      <rPr>
        <sz val="11"/>
        <rFont val="Arial Unicode MS"/>
        <family val="2"/>
      </rPr>
      <t>Ⅱ</t>
    </r>
    <r>
      <rPr>
        <sz val="11"/>
        <rFont val="Times New Roman"/>
        <family val="1"/>
      </rPr>
      <t>-</t>
    </r>
    <r>
      <rPr>
        <sz val="11"/>
        <rFont val="Arial Unicode MS"/>
        <family val="2"/>
      </rPr>
      <t>Ⅰ</t>
    </r>
    <r>
      <rPr>
        <sz val="11"/>
        <rFont val="Times New Roman"/>
        <family val="1"/>
      </rPr>
      <t>-1</t>
    </r>
  </si>
  <si>
    <r>
      <rPr>
        <sz val="11"/>
        <rFont val="Arial Unicode MS"/>
        <family val="2"/>
      </rPr>
      <t>Ⅱ</t>
    </r>
    <r>
      <rPr>
        <sz val="11"/>
        <rFont val="Times New Roman"/>
        <family val="1"/>
      </rPr>
      <t>-</t>
    </r>
    <r>
      <rPr>
        <sz val="11"/>
        <rFont val="Arial Unicode MS"/>
        <family val="2"/>
      </rPr>
      <t>Ⅱ</t>
    </r>
    <r>
      <rPr>
        <sz val="11"/>
        <rFont val="Times New Roman"/>
        <family val="1"/>
      </rPr>
      <t>-1</t>
    </r>
  </si>
  <si>
    <r>
      <rPr>
        <sz val="11"/>
        <rFont val="Arial Unicode MS"/>
        <family val="2"/>
      </rPr>
      <t>Ⅱ</t>
    </r>
    <r>
      <rPr>
        <sz val="11"/>
        <rFont val="Times New Roman"/>
        <family val="1"/>
      </rPr>
      <t>-</t>
    </r>
    <r>
      <rPr>
        <sz val="11"/>
        <rFont val="Arial Unicode MS"/>
        <family val="2"/>
      </rPr>
      <t>Ⅱ</t>
    </r>
    <r>
      <rPr>
        <sz val="11"/>
        <rFont val="Times New Roman"/>
        <family val="1"/>
      </rPr>
      <t>-2</t>
    </r>
  </si>
  <si>
    <r>
      <rPr>
        <sz val="11"/>
        <rFont val="Arial Unicode MS"/>
        <family val="2"/>
      </rPr>
      <t>Ⅱ</t>
    </r>
    <r>
      <rPr>
        <sz val="11"/>
        <rFont val="Times New Roman"/>
        <family val="1"/>
      </rPr>
      <t>-</t>
    </r>
    <r>
      <rPr>
        <sz val="11"/>
        <rFont val="Arial Unicode MS"/>
        <family val="2"/>
      </rPr>
      <t>Ⅱ</t>
    </r>
    <r>
      <rPr>
        <sz val="11"/>
        <rFont val="Times New Roman"/>
        <family val="1"/>
      </rPr>
      <t>-3</t>
    </r>
  </si>
  <si>
    <r>
      <rPr>
        <sz val="11"/>
        <rFont val="Arial Unicode MS"/>
        <family val="2"/>
      </rPr>
      <t>Ⅱ</t>
    </r>
    <r>
      <rPr>
        <sz val="11"/>
        <rFont val="Times New Roman"/>
        <family val="1"/>
      </rPr>
      <t>-</t>
    </r>
    <r>
      <rPr>
        <sz val="11"/>
        <rFont val="Arial Unicode MS"/>
        <family val="2"/>
      </rPr>
      <t>Ⅱ</t>
    </r>
    <r>
      <rPr>
        <sz val="11"/>
        <rFont val="Times New Roman"/>
        <family val="1"/>
      </rPr>
      <t>-4</t>
    </r>
  </si>
  <si>
    <r>
      <rPr>
        <sz val="11"/>
        <rFont val="Arial Unicode MS"/>
        <family val="2"/>
      </rPr>
      <t>Ⅱ</t>
    </r>
    <r>
      <rPr>
        <sz val="11"/>
        <rFont val="Times New Roman"/>
        <family val="1"/>
      </rPr>
      <t>-</t>
    </r>
    <r>
      <rPr>
        <sz val="11"/>
        <rFont val="Arial Unicode MS"/>
        <family val="2"/>
      </rPr>
      <t>Ⅱ</t>
    </r>
    <r>
      <rPr>
        <sz val="11"/>
        <rFont val="Times New Roman"/>
        <family val="1"/>
      </rPr>
      <t>-5</t>
    </r>
  </si>
  <si>
    <r>
      <t>Flux (dpm/m</t>
    </r>
    <r>
      <rPr>
        <vertAlign val="superscript"/>
        <sz val="11"/>
        <color indexed="10"/>
        <rFont val="Times New Roman"/>
        <family val="1"/>
      </rPr>
      <t>2</t>
    </r>
    <r>
      <rPr>
        <sz val="11"/>
        <color indexed="10"/>
        <rFont val="Times New Roman"/>
        <family val="1"/>
      </rPr>
      <t>/d)</t>
    </r>
  </si>
  <si>
    <r>
      <t>POC/</t>
    </r>
    <r>
      <rPr>
        <vertAlign val="superscript"/>
        <sz val="11"/>
        <color indexed="10"/>
        <rFont val="Times New Roman"/>
        <family val="1"/>
      </rPr>
      <t>234</t>
    </r>
    <r>
      <rPr>
        <sz val="11"/>
        <color indexed="10"/>
        <rFont val="Times New Roman"/>
        <family val="1"/>
      </rPr>
      <t>Th(100m)</t>
    </r>
  </si>
  <si>
    <r>
      <rPr>
        <sz val="11"/>
        <rFont val="Arial Unicode MS"/>
        <family val="2"/>
      </rPr>
      <t>Ⅱ</t>
    </r>
    <r>
      <rPr>
        <sz val="11"/>
        <rFont val="Times New Roman"/>
        <family val="1"/>
      </rPr>
      <t>-</t>
    </r>
    <r>
      <rPr>
        <sz val="11"/>
        <rFont val="Arial Unicode MS"/>
        <family val="2"/>
      </rPr>
      <t>Ⅰ</t>
    </r>
    <r>
      <rPr>
        <sz val="11"/>
        <rFont val="Times New Roman"/>
        <family val="1"/>
      </rPr>
      <t>-1</t>
    </r>
  </si>
  <si>
    <t>Recovery</t>
  </si>
  <si>
    <t>relative efficiency determined by using 238U standard. It has not been detected by now.</t>
  </si>
  <si>
    <t>II-2-1</t>
  </si>
  <si>
    <t>II-2-2</t>
  </si>
  <si>
    <t>II-2-3</t>
  </si>
  <si>
    <t>II-2-4</t>
  </si>
  <si>
    <t>II-2-5</t>
  </si>
  <si>
    <t>Beta ID</t>
  </si>
  <si>
    <t xml:space="preserve">Dec. eff. </t>
  </si>
  <si>
    <t xml:space="preserve">error </t>
  </si>
  <si>
    <t>II-1-1</t>
  </si>
  <si>
    <t>II-1-2</t>
  </si>
  <si>
    <t>II-1-3</t>
  </si>
  <si>
    <t>II-1-4</t>
  </si>
  <si>
    <t>II-1-5</t>
  </si>
  <si>
    <t>Efficiency for new beta counters</t>
  </si>
  <si>
    <r>
      <rPr>
        <sz val="11"/>
        <rFont val="Arial Unicode MS"/>
        <family val="2"/>
      </rPr>
      <t>Ⅱ</t>
    </r>
    <r>
      <rPr>
        <sz val="11"/>
        <rFont val="Times New Roman"/>
        <family val="1"/>
      </rPr>
      <t>-</t>
    </r>
    <r>
      <rPr>
        <sz val="11"/>
        <rFont val="Arial Unicode MS"/>
        <family val="2"/>
      </rPr>
      <t>Ⅰ</t>
    </r>
    <r>
      <rPr>
        <sz val="11"/>
        <rFont val="Times New Roman"/>
        <family val="1"/>
      </rPr>
      <t>-5</t>
    </r>
  </si>
  <si>
    <t>T-A2-100 m</t>
  </si>
  <si>
    <t xml:space="preserve">Sequence </t>
  </si>
  <si>
    <r>
      <t>230</t>
    </r>
    <r>
      <rPr>
        <sz val="11"/>
        <rFont val="Times New Roman"/>
        <family val="1"/>
      </rPr>
      <t>Th (g)</t>
    </r>
  </si>
  <si>
    <r>
      <t>230</t>
    </r>
    <r>
      <rPr>
        <sz val="11"/>
        <rFont val="Times New Roman"/>
        <family val="1"/>
      </rPr>
      <t>Th added</t>
    </r>
  </si>
  <si>
    <r>
      <t>230</t>
    </r>
    <r>
      <rPr>
        <sz val="11"/>
        <rFont val="Times New Roman"/>
        <family val="1"/>
      </rPr>
      <t>Th/</t>
    </r>
    <r>
      <rPr>
        <vertAlign val="superscript"/>
        <sz val="11"/>
        <rFont val="Times New Roman"/>
        <family val="1"/>
      </rPr>
      <t>229</t>
    </r>
    <r>
      <rPr>
        <sz val="11"/>
        <rFont val="Times New Roman"/>
        <family val="1"/>
      </rPr>
      <t xml:space="preserve">Th </t>
    </r>
  </si>
  <si>
    <t>error (%)</t>
  </si>
  <si>
    <r>
      <t>229</t>
    </r>
    <r>
      <rPr>
        <sz val="11"/>
        <rFont val="Times New Roman"/>
        <family val="1"/>
      </rPr>
      <t>Th</t>
    </r>
  </si>
  <si>
    <t>error</t>
  </si>
  <si>
    <r>
      <t>229</t>
    </r>
    <r>
      <rPr>
        <sz val="11"/>
        <rFont val="Times New Roman"/>
        <family val="1"/>
      </rPr>
      <t>Th added</t>
    </r>
  </si>
  <si>
    <r>
      <t>229</t>
    </r>
    <r>
      <rPr>
        <sz val="11"/>
        <rFont val="Times New Roman"/>
        <family val="1"/>
      </rPr>
      <t xml:space="preserve">Th concentration </t>
    </r>
  </si>
  <si>
    <r>
      <t>229</t>
    </r>
    <r>
      <rPr>
        <sz val="11"/>
        <rFont val="Times New Roman"/>
        <family val="1"/>
      </rPr>
      <t xml:space="preserve">Th  </t>
    </r>
  </si>
  <si>
    <t>Cal-1</t>
  </si>
  <si>
    <t>Cal-2</t>
  </si>
  <si>
    <t>Cal-3</t>
  </si>
  <si>
    <t>Cal-4</t>
  </si>
  <si>
    <t>Cal-5</t>
  </si>
  <si>
    <t>Cal-6</t>
  </si>
  <si>
    <t>Cal-7</t>
  </si>
  <si>
    <t>Cal-8</t>
  </si>
  <si>
    <t>Cal-9</t>
  </si>
  <si>
    <t>Cal-10</t>
  </si>
  <si>
    <r>
      <t xml:space="preserve">Cal-1~Cal-5 </t>
    </r>
    <r>
      <rPr>
        <sz val="11"/>
        <rFont val="宋体"/>
        <family val="0"/>
      </rPr>
      <t>加入</t>
    </r>
    <r>
      <rPr>
        <sz val="11"/>
        <rFont val="Times New Roman"/>
        <family val="1"/>
      </rPr>
      <t>230Th</t>
    </r>
    <r>
      <rPr>
        <sz val="11"/>
        <rFont val="宋体"/>
        <family val="0"/>
      </rPr>
      <t>和</t>
    </r>
    <r>
      <rPr>
        <sz val="11"/>
        <rFont val="Times New Roman"/>
        <family val="1"/>
      </rPr>
      <t>229Th</t>
    </r>
    <r>
      <rPr>
        <sz val="11"/>
        <rFont val="宋体"/>
        <family val="0"/>
      </rPr>
      <t>，进行与样品一样的流程；</t>
    </r>
    <r>
      <rPr>
        <sz val="11"/>
        <rFont val="Times New Roman"/>
        <family val="1"/>
      </rPr>
      <t>Cal-6~Cal-10</t>
    </r>
    <r>
      <rPr>
        <sz val="11"/>
        <rFont val="宋体"/>
        <family val="0"/>
      </rPr>
      <t>加入</t>
    </r>
    <r>
      <rPr>
        <sz val="11"/>
        <rFont val="Times New Roman"/>
        <family val="1"/>
      </rPr>
      <t>230Th</t>
    </r>
    <r>
      <rPr>
        <sz val="11"/>
        <rFont val="宋体"/>
        <family val="0"/>
      </rPr>
      <t>和</t>
    </r>
    <r>
      <rPr>
        <sz val="11"/>
        <rFont val="Times New Roman"/>
        <family val="1"/>
      </rPr>
      <t>229Th</t>
    </r>
    <r>
      <rPr>
        <sz val="11"/>
        <rFont val="宋体"/>
        <family val="0"/>
      </rPr>
      <t>，但不走流程，直接加热浓缩之后用</t>
    </r>
    <r>
      <rPr>
        <sz val="11"/>
        <rFont val="Times New Roman"/>
        <family val="1"/>
      </rPr>
      <t>2%</t>
    </r>
    <r>
      <rPr>
        <sz val="11"/>
        <rFont val="宋体"/>
        <family val="0"/>
      </rPr>
      <t>的硝酸定容至</t>
    </r>
    <r>
      <rPr>
        <sz val="11"/>
        <rFont val="Times New Roman"/>
        <family val="1"/>
      </rPr>
      <t>6 ml</t>
    </r>
  </si>
  <si>
    <r>
      <t xml:space="preserve">The activity of </t>
    </r>
    <r>
      <rPr>
        <vertAlign val="superscript"/>
        <sz val="11"/>
        <rFont val="Times New Roman"/>
        <family val="1"/>
      </rPr>
      <t>230</t>
    </r>
    <r>
      <rPr>
        <sz val="11"/>
        <rFont val="Times New Roman"/>
        <family val="1"/>
      </rPr>
      <t>Th is 14.1378±0.1413 dpm/g</t>
    </r>
  </si>
  <si>
    <r>
      <t>weight calibration for the 1 mL (2N HNO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  <r>
      <rPr>
        <vertAlign val="superscript"/>
        <sz val="11"/>
        <rFont val="Times New Roman"/>
        <family val="1"/>
      </rPr>
      <t>230</t>
    </r>
    <r>
      <rPr>
        <sz val="11"/>
        <rFont val="Times New Roman"/>
        <family val="1"/>
      </rPr>
      <t>Th pipette tip</t>
    </r>
  </si>
  <si>
    <r>
      <t>weight calibration for the 200 μL (2N HNO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  <r>
      <rPr>
        <vertAlign val="superscript"/>
        <sz val="11"/>
        <rFont val="Times New Roman"/>
        <family val="1"/>
      </rPr>
      <t>230</t>
    </r>
    <r>
      <rPr>
        <sz val="11"/>
        <rFont val="Times New Roman"/>
        <family val="1"/>
      </rPr>
      <t>Th pipette tip</t>
    </r>
  </si>
  <si>
    <t>Background of sample were counted 5 months after collection</t>
  </si>
  <si>
    <r>
      <rPr>
        <sz val="11"/>
        <rFont val="Times New Roman"/>
        <family val="1"/>
      </rPr>
      <t xml:space="preserve">The activity of </t>
    </r>
    <r>
      <rPr>
        <vertAlign val="superscript"/>
        <sz val="11"/>
        <rFont val="Times New Roman"/>
        <family val="1"/>
      </rPr>
      <t>230</t>
    </r>
    <r>
      <rPr>
        <sz val="11"/>
        <rFont val="Times New Roman"/>
        <family val="1"/>
      </rPr>
      <t>Th is 14.1378±0.1413 dpm/g</t>
    </r>
  </si>
  <si>
    <t>Samples with low recovery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</si>
</sst>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_);[Red]\(0\)"/>
    <numFmt numFmtId="179" formatCode="0.000_);[Red]\(0.000\)"/>
    <numFmt numFmtId="180" formatCode="0.00_);[Red]\(0.00\)"/>
    <numFmt numFmtId="181" formatCode="0.00_);\(0.00\)"/>
    <numFmt numFmtId="182" formatCode="0.0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_ "/>
    <numFmt numFmtId="189" formatCode="0.000E+00"/>
    <numFmt numFmtId="190" formatCode="0.0000E+00"/>
    <numFmt numFmtId="191" formatCode="0.0_);[Red]\(0.0\)"/>
    <numFmt numFmtId="192" formatCode="0.00000_ "/>
    <numFmt numFmtId="193" formatCode="0.000000_ "/>
    <numFmt numFmtId="194" formatCode="yyyy/m/d;@"/>
    <numFmt numFmtId="195" formatCode="0_ "/>
    <numFmt numFmtId="196" formatCode="0.0_ "/>
    <numFmt numFmtId="197" formatCode="yyyy/m/d\ h:mm;@"/>
    <numFmt numFmtId="198" formatCode="m/d/yyyy\ h:mm\ AM/PM"/>
  </numFmts>
  <fonts count="57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Symbol"/>
      <family val="1"/>
    </font>
    <font>
      <vertAlign val="superscript"/>
      <sz val="11"/>
      <color indexed="10"/>
      <name val="Times New Roman"/>
      <family val="1"/>
    </font>
    <font>
      <sz val="11"/>
      <name val="Arial Unicode MS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vertAlign val="subscript"/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8"/>
      <name val="宋体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16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88" fontId="6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189" fontId="7" fillId="0" borderId="0" xfId="0" applyNumberFormat="1" applyFont="1" applyAlignment="1">
      <alignment vertical="center"/>
    </xf>
    <xf numFmtId="189" fontId="6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183" fontId="7" fillId="0" borderId="0" xfId="0" applyNumberFormat="1" applyFont="1" applyAlignment="1">
      <alignment vertical="center"/>
    </xf>
    <xf numFmtId="183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0" fontId="6" fillId="33" borderId="0" xfId="0" applyFont="1" applyFill="1" applyAlignment="1">
      <alignment vertical="center"/>
    </xf>
    <xf numFmtId="189" fontId="6" fillId="33" borderId="0" xfId="0" applyNumberFormat="1" applyFont="1" applyFill="1" applyAlignment="1">
      <alignment vertical="center"/>
    </xf>
    <xf numFmtId="188" fontId="6" fillId="33" borderId="0" xfId="0" applyNumberFormat="1" applyFont="1" applyFill="1" applyAlignment="1">
      <alignment vertical="center"/>
    </xf>
    <xf numFmtId="183" fontId="6" fillId="33" borderId="0" xfId="0" applyNumberFormat="1" applyFont="1" applyFill="1" applyAlignment="1">
      <alignment vertical="center"/>
    </xf>
    <xf numFmtId="180" fontId="6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right"/>
    </xf>
    <xf numFmtId="22" fontId="8" fillId="0" borderId="0" xfId="0" applyNumberFormat="1" applyFont="1" applyAlignment="1">
      <alignment horizontal="center"/>
    </xf>
    <xf numFmtId="178" fontId="8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176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7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vertical="center"/>
    </xf>
    <xf numFmtId="191" fontId="8" fillId="0" borderId="0" xfId="0" applyNumberFormat="1" applyFont="1" applyFill="1" applyAlignment="1">
      <alignment horizontal="center"/>
    </xf>
    <xf numFmtId="195" fontId="8" fillId="0" borderId="0" xfId="0" applyNumberFormat="1" applyFont="1" applyAlignment="1">
      <alignment horizontal="right"/>
    </xf>
    <xf numFmtId="191" fontId="8" fillId="0" borderId="0" xfId="0" applyNumberFormat="1" applyFont="1" applyAlignment="1">
      <alignment horizontal="right"/>
    </xf>
    <xf numFmtId="196" fontId="8" fillId="0" borderId="0" xfId="0" applyNumberFormat="1" applyFont="1" applyAlignment="1">
      <alignment horizontal="right"/>
    </xf>
    <xf numFmtId="196" fontId="6" fillId="0" borderId="0" xfId="0" applyNumberFormat="1" applyFont="1" applyFill="1" applyAlignment="1">
      <alignment horizontal="right"/>
    </xf>
    <xf numFmtId="0" fontId="52" fillId="34" borderId="0" xfId="0" applyFont="1" applyFill="1" applyBorder="1" applyAlignment="1">
      <alignment vertical="center"/>
    </xf>
    <xf numFmtId="0" fontId="53" fillId="34" borderId="0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22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horizontal="center" vertical="center"/>
    </xf>
    <xf numFmtId="197" fontId="5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95" fontId="6" fillId="0" borderId="0" xfId="0" applyNumberFormat="1" applyFont="1" applyAlignment="1">
      <alignment horizontal="right" vertical="center"/>
    </xf>
    <xf numFmtId="191" fontId="6" fillId="0" borderId="0" xfId="0" applyNumberFormat="1" applyFont="1" applyAlignment="1">
      <alignment horizontal="right" vertical="center"/>
    </xf>
    <xf numFmtId="196" fontId="6" fillId="0" borderId="0" xfId="0" applyNumberFormat="1" applyFont="1" applyAlignment="1">
      <alignment horizontal="right" vertical="center"/>
    </xf>
    <xf numFmtId="183" fontId="8" fillId="0" borderId="0" xfId="0" applyNumberFormat="1" applyFont="1" applyAlignment="1">
      <alignment horizontal="center"/>
    </xf>
    <xf numFmtId="178" fontId="8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 vertical="center"/>
    </xf>
    <xf numFmtId="178" fontId="6" fillId="35" borderId="0" xfId="0" applyNumberFormat="1" applyFont="1" applyFill="1" applyAlignment="1">
      <alignment horizontal="right" vertical="center"/>
    </xf>
    <xf numFmtId="178" fontId="6" fillId="35" borderId="0" xfId="0" applyNumberFormat="1" applyFont="1" applyFill="1" applyAlignment="1">
      <alignment vertical="center"/>
    </xf>
    <xf numFmtId="179" fontId="6" fillId="35" borderId="0" xfId="0" applyNumberFormat="1" applyFont="1" applyFill="1" applyAlignment="1">
      <alignment vertical="center"/>
    </xf>
    <xf numFmtId="183" fontId="6" fillId="35" borderId="0" xfId="0" applyNumberFormat="1" applyFont="1" applyFill="1" applyAlignment="1">
      <alignment vertical="center"/>
    </xf>
    <xf numFmtId="0" fontId="6" fillId="35" borderId="0" xfId="0" applyFont="1" applyFill="1" applyAlignment="1">
      <alignment horizontal="right" vertical="center"/>
    </xf>
    <xf numFmtId="195" fontId="6" fillId="35" borderId="0" xfId="0" applyNumberFormat="1" applyFont="1" applyFill="1" applyAlignment="1">
      <alignment horizontal="right" vertical="center"/>
    </xf>
    <xf numFmtId="191" fontId="6" fillId="35" borderId="0" xfId="0" applyNumberFormat="1" applyFont="1" applyFill="1" applyAlignment="1">
      <alignment horizontal="right" vertical="center"/>
    </xf>
    <xf numFmtId="196" fontId="6" fillId="35" borderId="0" xfId="0" applyNumberFormat="1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179" fontId="6" fillId="36" borderId="0" xfId="0" applyNumberFormat="1" applyFont="1" applyFill="1" applyAlignment="1">
      <alignment vertical="center"/>
    </xf>
    <xf numFmtId="183" fontId="6" fillId="36" borderId="0" xfId="0" applyNumberFormat="1" applyFont="1" applyFill="1" applyAlignment="1">
      <alignment vertical="center"/>
    </xf>
    <xf numFmtId="0" fontId="6" fillId="37" borderId="0" xfId="0" applyFont="1" applyFill="1" applyAlignment="1">
      <alignment vertical="center"/>
    </xf>
    <xf numFmtId="178" fontId="6" fillId="37" borderId="0" xfId="0" applyNumberFormat="1" applyFont="1" applyFill="1" applyAlignment="1">
      <alignment horizontal="right" vertical="center"/>
    </xf>
    <xf numFmtId="178" fontId="6" fillId="37" borderId="0" xfId="0" applyNumberFormat="1" applyFont="1" applyFill="1" applyAlignment="1">
      <alignment vertical="center"/>
    </xf>
    <xf numFmtId="179" fontId="6" fillId="37" borderId="0" xfId="0" applyNumberFormat="1" applyFont="1" applyFill="1" applyAlignment="1">
      <alignment vertical="center"/>
    </xf>
    <xf numFmtId="183" fontId="6" fillId="37" borderId="0" xfId="0" applyNumberFormat="1" applyFont="1" applyFill="1" applyAlignment="1">
      <alignment vertical="center"/>
    </xf>
    <xf numFmtId="0" fontId="6" fillId="37" borderId="0" xfId="0" applyFont="1" applyFill="1" applyAlignment="1">
      <alignment horizontal="right" vertical="center"/>
    </xf>
    <xf numFmtId="195" fontId="6" fillId="37" borderId="0" xfId="0" applyNumberFormat="1" applyFont="1" applyFill="1" applyAlignment="1">
      <alignment horizontal="right" vertical="center"/>
    </xf>
    <xf numFmtId="191" fontId="6" fillId="37" borderId="0" xfId="0" applyNumberFormat="1" applyFont="1" applyFill="1" applyAlignment="1">
      <alignment horizontal="right" vertical="center"/>
    </xf>
    <xf numFmtId="196" fontId="6" fillId="37" borderId="0" xfId="0" applyNumberFormat="1" applyFont="1" applyFill="1" applyAlignment="1">
      <alignment horizontal="right" vertical="center"/>
    </xf>
    <xf numFmtId="0" fontId="8" fillId="37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178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95" fontId="6" fillId="0" borderId="0" xfId="0" applyNumberFormat="1" applyFont="1" applyFill="1" applyAlignment="1">
      <alignment horizontal="right" vertical="center"/>
    </xf>
    <xf numFmtId="191" fontId="6" fillId="0" borderId="0" xfId="0" applyNumberFormat="1" applyFont="1" applyFill="1" applyAlignment="1">
      <alignment horizontal="right" vertical="center"/>
    </xf>
    <xf numFmtId="19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right"/>
    </xf>
    <xf numFmtId="0" fontId="13" fillId="0" borderId="0" xfId="0" applyFont="1" applyAlignment="1">
      <alignment vertical="center"/>
    </xf>
    <xf numFmtId="49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right"/>
    </xf>
    <xf numFmtId="179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195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 horizontal="right"/>
    </xf>
    <xf numFmtId="191" fontId="6" fillId="0" borderId="0" xfId="0" applyNumberFormat="1" applyFont="1" applyFill="1" applyAlignment="1">
      <alignment horizontal="right"/>
    </xf>
    <xf numFmtId="0" fontId="55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38" borderId="0" xfId="0" applyFont="1" applyFill="1" applyAlignment="1">
      <alignment horizontal="left" vertical="center"/>
    </xf>
    <xf numFmtId="188" fontId="6" fillId="38" borderId="0" xfId="0" applyNumberFormat="1" applyFont="1" applyFill="1" applyAlignment="1">
      <alignment horizontal="left" vertical="center"/>
    </xf>
    <xf numFmtId="188" fontId="6" fillId="38" borderId="0" xfId="0" applyNumberFormat="1" applyFont="1" applyFill="1" applyAlignment="1">
      <alignment vertical="center"/>
    </xf>
    <xf numFmtId="189" fontId="6" fillId="38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188" fontId="7" fillId="0" borderId="0" xfId="0" applyNumberFormat="1" applyFont="1" applyAlignment="1">
      <alignment horizontal="left" vertical="center"/>
    </xf>
    <xf numFmtId="189" fontId="7" fillId="0" borderId="0" xfId="0" applyNumberFormat="1" applyFont="1" applyAlignment="1">
      <alignment horizontal="left" vertical="center"/>
    </xf>
    <xf numFmtId="188" fontId="6" fillId="0" borderId="0" xfId="0" applyNumberFormat="1" applyFont="1" applyAlignment="1">
      <alignment horizontal="left" vertical="center"/>
    </xf>
    <xf numFmtId="189" fontId="6" fillId="39" borderId="0" xfId="0" applyNumberFormat="1" applyFont="1" applyFill="1" applyAlignment="1">
      <alignment vertical="center"/>
    </xf>
    <xf numFmtId="188" fontId="6" fillId="40" borderId="0" xfId="0" applyNumberFormat="1" applyFont="1" applyFill="1" applyAlignment="1">
      <alignment horizontal="left" vertical="center"/>
    </xf>
    <xf numFmtId="188" fontId="6" fillId="41" borderId="0" xfId="0" applyNumberFormat="1" applyFont="1" applyFill="1" applyAlignment="1">
      <alignment vertical="center"/>
    </xf>
    <xf numFmtId="0" fontId="6" fillId="42" borderId="0" xfId="0" applyFont="1" applyFill="1" applyAlignment="1">
      <alignment horizontal="left" vertical="center"/>
    </xf>
    <xf numFmtId="0" fontId="7" fillId="43" borderId="0" xfId="0" applyFont="1" applyFill="1" applyAlignment="1">
      <alignment vertical="center"/>
    </xf>
    <xf numFmtId="0" fontId="6" fillId="44" borderId="0" xfId="0" applyFont="1" applyFill="1" applyAlignment="1">
      <alignment horizontal="left" vertical="center"/>
    </xf>
    <xf numFmtId="0" fontId="6" fillId="44" borderId="0" xfId="0" applyFont="1" applyFill="1" applyAlignment="1">
      <alignment vertical="center"/>
    </xf>
    <xf numFmtId="183" fontId="6" fillId="44" borderId="0" xfId="0" applyNumberFormat="1" applyFont="1" applyFill="1" applyAlignment="1">
      <alignment vertical="center"/>
    </xf>
    <xf numFmtId="179" fontId="6" fillId="44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45" borderId="0" xfId="0" applyFont="1" applyFill="1" applyAlignment="1">
      <alignment horizontal="left" vertical="center"/>
    </xf>
    <xf numFmtId="188" fontId="6" fillId="45" borderId="0" xfId="0" applyNumberFormat="1" applyFont="1" applyFill="1" applyAlignment="1">
      <alignment horizontal="left" vertical="center"/>
    </xf>
    <xf numFmtId="188" fontId="6" fillId="45" borderId="0" xfId="0" applyNumberFormat="1" applyFont="1" applyFill="1" applyAlignment="1">
      <alignment vertical="center"/>
    </xf>
    <xf numFmtId="0" fontId="6" fillId="45" borderId="0" xfId="0" applyFont="1" applyFill="1" applyAlignment="1">
      <alignment vertical="center"/>
    </xf>
    <xf numFmtId="189" fontId="6" fillId="45" borderId="0" xfId="0" applyNumberFormat="1" applyFont="1" applyFill="1" applyAlignment="1">
      <alignment vertical="center"/>
    </xf>
    <xf numFmtId="183" fontId="6" fillId="45" borderId="0" xfId="0" applyNumberFormat="1" applyFont="1" applyFill="1" applyAlignment="1">
      <alignment vertical="center"/>
    </xf>
    <xf numFmtId="179" fontId="6" fillId="45" borderId="0" xfId="0" applyNumberFormat="1" applyFont="1" applyFill="1" applyAlignment="1">
      <alignment vertical="center"/>
    </xf>
    <xf numFmtId="19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18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center" vertical="center"/>
    </xf>
    <xf numFmtId="182" fontId="6" fillId="0" borderId="0" xfId="0" applyNumberFormat="1" applyFont="1" applyFill="1" applyAlignment="1">
      <alignment vertical="center"/>
    </xf>
    <xf numFmtId="195" fontId="6" fillId="0" borderId="0" xfId="0" applyNumberFormat="1" applyFont="1" applyFill="1" applyAlignment="1">
      <alignment vertical="center"/>
    </xf>
    <xf numFmtId="179" fontId="6" fillId="46" borderId="0" xfId="0" applyNumberFormat="1" applyFont="1" applyFill="1" applyAlignment="1">
      <alignment vertical="center"/>
    </xf>
    <xf numFmtId="178" fontId="6" fillId="46" borderId="0" xfId="0" applyNumberFormat="1" applyFont="1" applyFill="1" applyAlignment="1">
      <alignment vertical="center"/>
    </xf>
    <xf numFmtId="0" fontId="6" fillId="46" borderId="0" xfId="0" applyFont="1" applyFill="1" applyAlignment="1">
      <alignment vertical="center"/>
    </xf>
    <xf numFmtId="176" fontId="6" fillId="46" borderId="0" xfId="0" applyNumberFormat="1" applyFont="1" applyFill="1" applyAlignment="1">
      <alignment horizontal="center"/>
    </xf>
    <xf numFmtId="0" fontId="6" fillId="46" borderId="0" xfId="0" applyFont="1" applyFill="1" applyBorder="1" applyAlignment="1">
      <alignment vertical="center"/>
    </xf>
    <xf numFmtId="176" fontId="6" fillId="46" borderId="0" xfId="0" applyNumberFormat="1" applyFont="1" applyFill="1" applyAlignment="1">
      <alignment vertical="center"/>
    </xf>
    <xf numFmtId="0" fontId="53" fillId="47" borderId="0" xfId="0" applyFont="1" applyFill="1" applyBorder="1" applyAlignment="1">
      <alignment vertical="center"/>
    </xf>
    <xf numFmtId="197" fontId="6" fillId="46" borderId="0" xfId="0" applyNumberFormat="1" applyFont="1" applyFill="1" applyBorder="1" applyAlignment="1">
      <alignment vertical="center"/>
    </xf>
    <xf numFmtId="22" fontId="6" fillId="46" borderId="0" xfId="0" applyNumberFormat="1" applyFont="1" applyFill="1" applyBorder="1" applyAlignment="1">
      <alignment vertical="center"/>
    </xf>
    <xf numFmtId="178" fontId="6" fillId="46" borderId="0" xfId="0" applyNumberFormat="1" applyFont="1" applyFill="1" applyBorder="1" applyAlignment="1">
      <alignment horizontal="right" vertical="center"/>
    </xf>
    <xf numFmtId="178" fontId="6" fillId="46" borderId="0" xfId="0" applyNumberFormat="1" applyFont="1" applyFill="1" applyBorder="1" applyAlignment="1">
      <alignment vertical="center"/>
    </xf>
    <xf numFmtId="182" fontId="6" fillId="46" borderId="0" xfId="0" applyNumberFormat="1" applyFont="1" applyFill="1" applyBorder="1" applyAlignment="1">
      <alignment horizontal="center" vertical="center"/>
    </xf>
    <xf numFmtId="2" fontId="6" fillId="46" borderId="0" xfId="0" applyNumberFormat="1" applyFont="1" applyFill="1" applyAlignment="1">
      <alignment vertical="center"/>
    </xf>
    <xf numFmtId="179" fontId="14" fillId="46" borderId="0" xfId="0" applyNumberFormat="1" applyFont="1" applyFill="1" applyBorder="1" applyAlignment="1">
      <alignment/>
    </xf>
    <xf numFmtId="195" fontId="6" fillId="46" borderId="0" xfId="0" applyNumberFormat="1" applyFont="1" applyFill="1" applyAlignment="1">
      <alignment horizontal="right"/>
    </xf>
    <xf numFmtId="178" fontId="6" fillId="46" borderId="0" xfId="0" applyNumberFormat="1" applyFont="1" applyFill="1" applyAlignment="1">
      <alignment horizontal="right"/>
    </xf>
    <xf numFmtId="1" fontId="6" fillId="46" borderId="0" xfId="0" applyNumberFormat="1" applyFont="1" applyFill="1" applyAlignment="1">
      <alignment horizontal="center"/>
    </xf>
    <xf numFmtId="191" fontId="6" fillId="46" borderId="0" xfId="0" applyNumberFormat="1" applyFont="1" applyFill="1" applyAlignment="1">
      <alignment horizontal="right"/>
    </xf>
    <xf numFmtId="196" fontId="6" fillId="46" borderId="0" xfId="0" applyNumberFormat="1" applyFont="1" applyFill="1" applyAlignment="1">
      <alignment horizontal="right"/>
    </xf>
    <xf numFmtId="0" fontId="55" fillId="46" borderId="0" xfId="0" applyFont="1" applyFill="1" applyAlignment="1">
      <alignment vertical="center"/>
    </xf>
    <xf numFmtId="176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center"/>
    </xf>
    <xf numFmtId="196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/>
    </xf>
    <xf numFmtId="22" fontId="8" fillId="0" borderId="0" xfId="0" applyNumberFormat="1" applyFont="1" applyFill="1" applyAlignment="1">
      <alignment horizontal="center"/>
    </xf>
    <xf numFmtId="178" fontId="8" fillId="0" borderId="0" xfId="0" applyNumberFormat="1" applyFont="1" applyFill="1" applyAlignment="1">
      <alignment horizontal="right"/>
    </xf>
    <xf numFmtId="178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right"/>
    </xf>
    <xf numFmtId="196" fontId="8" fillId="0" borderId="0" xfId="0" applyNumberFormat="1" applyFont="1" applyFill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5" sqref="A15:IV70"/>
    </sheetView>
  </sheetViews>
  <sheetFormatPr defaultColWidth="9.00390625" defaultRowHeight="14.25"/>
  <cols>
    <col min="1" max="1" width="11.375" style="72" customWidth="1"/>
    <col min="2" max="2" width="14.00390625" style="72" customWidth="1"/>
    <col min="3" max="3" width="13.625" style="72" customWidth="1"/>
    <col min="4" max="4" width="17.50390625" style="72" customWidth="1"/>
    <col min="5" max="5" width="12.375" style="72" customWidth="1"/>
    <col min="6" max="6" width="13.25390625" style="72" customWidth="1"/>
    <col min="7" max="7" width="13.875" style="75" customWidth="1"/>
    <col min="8" max="8" width="9.00390625" style="75" customWidth="1"/>
    <col min="9" max="9" width="12.25390625" style="72" customWidth="1"/>
    <col min="10" max="10" width="15.375" style="72" customWidth="1"/>
    <col min="11" max="11" width="9.00390625" style="72" customWidth="1"/>
    <col min="12" max="12" width="10.50390625" style="72" customWidth="1"/>
    <col min="13" max="13" width="13.00390625" style="72" customWidth="1"/>
    <col min="14" max="14" width="9.00390625" style="75" customWidth="1"/>
    <col min="15" max="16" width="9.00390625" style="127" customWidth="1"/>
    <col min="17" max="17" width="10.375" style="127" customWidth="1"/>
    <col min="18" max="18" width="12.50390625" style="127" customWidth="1"/>
    <col min="19" max="20" width="9.00390625" style="72" customWidth="1"/>
    <col min="21" max="21" width="9.00390625" style="156" customWidth="1"/>
    <col min="22" max="22" width="9.00390625" style="75" customWidth="1"/>
    <col min="23" max="24" width="9.00390625" style="72" customWidth="1"/>
    <col min="25" max="25" width="11.75390625" style="72" customWidth="1"/>
    <col min="26" max="26" width="9.00390625" style="72" customWidth="1"/>
    <col min="27" max="27" width="15.75390625" style="72" customWidth="1"/>
    <col min="28" max="28" width="10.875" style="72" customWidth="1"/>
    <col min="29" max="29" width="16.50390625" style="154" customWidth="1"/>
    <col min="30" max="30" width="14.00390625" style="153" customWidth="1"/>
    <col min="31" max="31" width="9.00390625" style="153" customWidth="1"/>
    <col min="32" max="33" width="9.00390625" style="154" customWidth="1"/>
    <col min="34" max="16384" width="9.00390625" style="72" customWidth="1"/>
  </cols>
  <sheetData>
    <row r="1" spans="1:47" ht="15">
      <c r="A1" s="50" t="s">
        <v>134</v>
      </c>
      <c r="B1" s="50"/>
      <c r="C1" s="50"/>
      <c r="D1" s="50"/>
      <c r="E1" s="73"/>
      <c r="F1" s="74"/>
      <c r="I1" s="74"/>
      <c r="J1" s="74"/>
      <c r="N1" s="72"/>
      <c r="O1" s="72"/>
      <c r="P1" s="72"/>
      <c r="Q1" s="72"/>
      <c r="R1" s="72"/>
      <c r="U1" s="72"/>
      <c r="V1" s="72"/>
      <c r="Y1" s="76"/>
      <c r="AC1" s="77"/>
      <c r="AD1" s="72"/>
      <c r="AE1" s="72"/>
      <c r="AF1" s="72"/>
      <c r="AG1" s="72"/>
      <c r="AL1" s="78"/>
      <c r="AP1" s="79"/>
      <c r="AQ1" s="79"/>
      <c r="AR1" s="79"/>
      <c r="AS1" s="79"/>
      <c r="AT1" s="80"/>
      <c r="AU1" s="80"/>
    </row>
    <row r="2" ht="15">
      <c r="AA2" s="72" t="s">
        <v>50</v>
      </c>
    </row>
    <row r="3" spans="1:33" s="155" customFormat="1" ht="18">
      <c r="A3" s="157" t="s">
        <v>0</v>
      </c>
      <c r="B3" s="158" t="s">
        <v>1</v>
      </c>
      <c r="C3" s="157" t="s">
        <v>2</v>
      </c>
      <c r="D3" s="157" t="s">
        <v>25</v>
      </c>
      <c r="E3" s="159" t="s">
        <v>26</v>
      </c>
      <c r="F3" s="160" t="s">
        <v>16</v>
      </c>
      <c r="G3" s="161" t="s">
        <v>17</v>
      </c>
      <c r="H3" s="161" t="s">
        <v>18</v>
      </c>
      <c r="I3" s="49" t="s">
        <v>27</v>
      </c>
      <c r="J3" s="160" t="s">
        <v>28</v>
      </c>
      <c r="K3" s="151" t="s">
        <v>19</v>
      </c>
      <c r="L3" s="151" t="s">
        <v>20</v>
      </c>
      <c r="M3" s="151" t="s">
        <v>21</v>
      </c>
      <c r="N3" s="161" t="s">
        <v>18</v>
      </c>
      <c r="O3" s="162" t="s">
        <v>3</v>
      </c>
      <c r="P3" s="162" t="s">
        <v>4</v>
      </c>
      <c r="Q3" s="162" t="s">
        <v>5</v>
      </c>
      <c r="R3" s="162" t="s">
        <v>24</v>
      </c>
      <c r="S3" s="157" t="s">
        <v>6</v>
      </c>
      <c r="T3" s="157" t="s">
        <v>4</v>
      </c>
      <c r="U3" s="163" t="s">
        <v>7</v>
      </c>
      <c r="V3" s="161" t="s">
        <v>23</v>
      </c>
      <c r="W3" s="157" t="s">
        <v>23</v>
      </c>
      <c r="X3" s="157" t="s">
        <v>20</v>
      </c>
      <c r="Y3" s="157" t="s">
        <v>8</v>
      </c>
      <c r="Z3" s="157" t="s">
        <v>4</v>
      </c>
      <c r="AA3" s="17" t="s">
        <v>51</v>
      </c>
      <c r="AB3" s="17" t="s">
        <v>54</v>
      </c>
      <c r="AC3" s="30" t="s">
        <v>52</v>
      </c>
      <c r="AD3" s="164" t="s">
        <v>53</v>
      </c>
      <c r="AE3" s="164" t="s">
        <v>20</v>
      </c>
      <c r="AF3" s="30" t="s">
        <v>53</v>
      </c>
      <c r="AG3" s="30" t="s">
        <v>20</v>
      </c>
    </row>
    <row r="4" spans="1:33" ht="16.5">
      <c r="A4" s="98" t="s">
        <v>68</v>
      </c>
      <c r="B4" s="124">
        <v>41122.33888888889</v>
      </c>
      <c r="C4" s="42">
        <v>41122.365277777775</v>
      </c>
      <c r="D4" s="42">
        <v>41124.11388888889</v>
      </c>
      <c r="E4" s="125">
        <v>748</v>
      </c>
      <c r="F4" s="126">
        <v>700</v>
      </c>
      <c r="G4" s="75">
        <f>E4/F4</f>
        <v>1.0685714285714285</v>
      </c>
      <c r="H4" s="75">
        <f>SQRT(E4)/F4</f>
        <v>0.03907084094622098</v>
      </c>
      <c r="I4" s="74">
        <v>271</v>
      </c>
      <c r="J4" s="72">
        <v>700</v>
      </c>
      <c r="K4" s="76">
        <f>I4/J4</f>
        <v>0.3871428571428571</v>
      </c>
      <c r="L4" s="76">
        <f>SQRT(I4)/J4</f>
        <v>0.02351725376164904</v>
      </c>
      <c r="M4" s="75">
        <f>G4-K4</f>
        <v>0.6814285714285714</v>
      </c>
      <c r="N4" s="75">
        <f>SQRT(H4^2+L4^2)</f>
        <v>0.04560254199860677</v>
      </c>
      <c r="O4" s="127">
        <v>1</v>
      </c>
      <c r="P4" s="81">
        <v>0.03</v>
      </c>
      <c r="Q4" s="128">
        <v>8.26</v>
      </c>
      <c r="R4" s="127">
        <f>D4-C4</f>
        <v>1.7486111111138598</v>
      </c>
      <c r="S4" s="76">
        <f>M4/EXP(-0.02876*R4)/Q4</f>
        <v>0.08675229751940614</v>
      </c>
      <c r="T4" s="76">
        <f>S4*N4/M4</f>
        <v>0.005805634599104915</v>
      </c>
      <c r="U4" s="40" t="s">
        <v>83</v>
      </c>
      <c r="W4" s="85">
        <v>0.45494788706554307</v>
      </c>
      <c r="X4" s="85">
        <v>0.007337859270473155</v>
      </c>
      <c r="Y4" s="129">
        <f>S4/O4/W4</f>
        <v>0.19068623019433426</v>
      </c>
      <c r="Z4" s="76">
        <f>Y4*SQRT(T4^2/S4^2+P4^2/O4^2+X4^2/W4^2)</f>
        <v>0.014318866293445434</v>
      </c>
      <c r="AB4" s="130">
        <f>AA4-$AB$2</f>
        <v>0</v>
      </c>
      <c r="AC4" s="154">
        <f aca="true" t="shared" si="0" ref="AC4:AC14">AB4/12/Q4</f>
        <v>0</v>
      </c>
      <c r="AD4" s="153">
        <f aca="true" t="shared" si="1" ref="AD4:AD14">AC4/Y4</f>
        <v>0</v>
      </c>
      <c r="AE4" s="153">
        <f aca="true" t="shared" si="2" ref="AE4:AE14">AD4*(Z4/Y4)</f>
        <v>0</v>
      </c>
      <c r="AF4" s="154">
        <f>AD4/1.3</f>
        <v>0</v>
      </c>
      <c r="AG4" s="154" t="e">
        <f>SQRT(AE4^2/AD4^2+0.24^2/1.3^2)*AF4</f>
        <v>#DIV/0!</v>
      </c>
    </row>
    <row r="5" spans="1:33" ht="16.5">
      <c r="A5" s="88" t="s">
        <v>69</v>
      </c>
      <c r="B5" s="124">
        <v>41122.33888888889</v>
      </c>
      <c r="C5" s="42">
        <v>41122.370833333334</v>
      </c>
      <c r="D5" s="42">
        <v>41124.11388888889</v>
      </c>
      <c r="E5" s="125">
        <v>757</v>
      </c>
      <c r="F5" s="126">
        <v>700</v>
      </c>
      <c r="G5" s="75">
        <f aca="true" t="shared" si="3" ref="G5:G14">E5/F5</f>
        <v>1.0814285714285714</v>
      </c>
      <c r="H5" s="75">
        <f aca="true" t="shared" si="4" ref="H5:H14">SQRT(E5)/F5</f>
        <v>0.03930518997770744</v>
      </c>
      <c r="I5" s="74">
        <v>200</v>
      </c>
      <c r="J5" s="72">
        <v>700</v>
      </c>
      <c r="K5" s="76">
        <f aca="true" t="shared" si="5" ref="K5:K13">I5/J5</f>
        <v>0.2857142857142857</v>
      </c>
      <c r="L5" s="76">
        <f aca="true" t="shared" si="6" ref="L5:L14">SQRT(I5)/J5</f>
        <v>0.020203050891044214</v>
      </c>
      <c r="M5" s="75">
        <f aca="true" t="shared" si="7" ref="M5:M14">G5-K5</f>
        <v>0.7957142857142857</v>
      </c>
      <c r="N5" s="75">
        <f aca="true" t="shared" si="8" ref="N5:N14">SQRT(H5^2+L5^2)</f>
        <v>0.0441934522807372</v>
      </c>
      <c r="O5" s="127">
        <v>1</v>
      </c>
      <c r="P5" s="81">
        <v>0.03</v>
      </c>
      <c r="Q5" s="128">
        <v>8.15</v>
      </c>
      <c r="R5" s="127">
        <f aca="true" t="shared" si="9" ref="R5:R14">D5-C5</f>
        <v>1.7430555555547471</v>
      </c>
      <c r="S5" s="76">
        <f aca="true" t="shared" si="10" ref="S5:S14">M5/EXP(-0.02876*R5)/Q5</f>
        <v>0.10265281171706733</v>
      </c>
      <c r="T5" s="76">
        <f aca="true" t="shared" si="11" ref="T5:T14">S5*N5/M5</f>
        <v>0.00570127018899677</v>
      </c>
      <c r="U5" s="40" t="s">
        <v>79</v>
      </c>
      <c r="W5" s="85">
        <v>0.45427419422797033</v>
      </c>
      <c r="X5" s="85">
        <v>0.007476846219301492</v>
      </c>
      <c r="Y5" s="129">
        <f aca="true" t="shared" si="12" ref="Y5:Y14">S5/O5/W5</f>
        <v>0.22597103912434136</v>
      </c>
      <c r="Z5" s="76">
        <f aca="true" t="shared" si="13" ref="Z5:Z14">Y5*SQRT(T5^2/S5^2+P5^2/O5^2+X5^2/W5^2)</f>
        <v>0.014741062715309873</v>
      </c>
      <c r="AB5" s="130">
        <f aca="true" t="shared" si="14" ref="AB5:AB14">AA5-$AB$2</f>
        <v>0</v>
      </c>
      <c r="AC5" s="154">
        <f t="shared" si="0"/>
        <v>0</v>
      </c>
      <c r="AD5" s="153">
        <f t="shared" si="1"/>
        <v>0</v>
      </c>
      <c r="AE5" s="153">
        <f t="shared" si="2"/>
        <v>0</v>
      </c>
      <c r="AF5" s="154">
        <f aca="true" t="shared" si="15" ref="AF5:AF14">AD5/1.3</f>
        <v>0</v>
      </c>
      <c r="AG5" s="154" t="e">
        <f aca="true" t="shared" si="16" ref="AG5:AG14">SQRT(AE5^2/AD5^2+0.24^2/1.3^2)*AF5</f>
        <v>#DIV/0!</v>
      </c>
    </row>
    <row r="6" spans="1:33" ht="16.5">
      <c r="A6" s="88" t="s">
        <v>70</v>
      </c>
      <c r="B6" s="124">
        <v>41122.33888888889</v>
      </c>
      <c r="C6" s="42">
        <v>41122.37361111111</v>
      </c>
      <c r="D6" s="42">
        <v>41124.11388888889</v>
      </c>
      <c r="E6" s="125">
        <v>985</v>
      </c>
      <c r="F6" s="126">
        <v>700</v>
      </c>
      <c r="G6" s="75">
        <f t="shared" si="3"/>
        <v>1.4071428571428573</v>
      </c>
      <c r="H6" s="75">
        <f t="shared" si="4"/>
        <v>0.0448352995042149</v>
      </c>
      <c r="I6" s="74">
        <v>249</v>
      </c>
      <c r="J6" s="72">
        <v>700</v>
      </c>
      <c r="K6" s="76">
        <f t="shared" si="5"/>
        <v>0.3557142857142857</v>
      </c>
      <c r="L6" s="76">
        <f t="shared" si="6"/>
        <v>0.022542476911513572</v>
      </c>
      <c r="M6" s="75">
        <f t="shared" si="7"/>
        <v>1.0514285714285716</v>
      </c>
      <c r="N6" s="75">
        <f t="shared" si="8"/>
        <v>0.050183337343572276</v>
      </c>
      <c r="O6" s="127">
        <v>1</v>
      </c>
      <c r="P6" s="81">
        <v>0.03</v>
      </c>
      <c r="Q6" s="128">
        <v>8.05</v>
      </c>
      <c r="R6" s="127">
        <f t="shared" si="9"/>
        <v>1.7402777777824667</v>
      </c>
      <c r="S6" s="76">
        <f t="shared" si="10"/>
        <v>0.1373157969101408</v>
      </c>
      <c r="T6" s="76">
        <f t="shared" si="11"/>
        <v>0.006553906890299102</v>
      </c>
      <c r="U6" s="40" t="s">
        <v>80</v>
      </c>
      <c r="W6" s="85">
        <v>0.457959288169344</v>
      </c>
      <c r="X6" s="85">
        <v>0.0076879374111948765</v>
      </c>
      <c r="Y6" s="129">
        <f t="shared" si="12"/>
        <v>0.2998428036235488</v>
      </c>
      <c r="Z6" s="76">
        <f t="shared" si="13"/>
        <v>0.017636892030694185</v>
      </c>
      <c r="AB6" s="130">
        <f t="shared" si="14"/>
        <v>0</v>
      </c>
      <c r="AC6" s="154">
        <f t="shared" si="0"/>
        <v>0</v>
      </c>
      <c r="AD6" s="153">
        <f t="shared" si="1"/>
        <v>0</v>
      </c>
      <c r="AE6" s="153">
        <f t="shared" si="2"/>
        <v>0</v>
      </c>
      <c r="AF6" s="154">
        <f t="shared" si="15"/>
        <v>0</v>
      </c>
      <c r="AG6" s="154" t="e">
        <f t="shared" si="16"/>
        <v>#DIV/0!</v>
      </c>
    </row>
    <row r="7" spans="1:33" ht="16.5">
      <c r="A7" s="88" t="s">
        <v>71</v>
      </c>
      <c r="B7" s="124">
        <v>41122.33888888889</v>
      </c>
      <c r="C7" s="42">
        <v>41122.372569444444</v>
      </c>
      <c r="D7" s="42">
        <v>41124.11388888889</v>
      </c>
      <c r="E7" s="125">
        <v>850</v>
      </c>
      <c r="F7" s="126">
        <v>700</v>
      </c>
      <c r="G7" s="75">
        <f t="shared" si="3"/>
        <v>1.2142857142857142</v>
      </c>
      <c r="H7" s="75">
        <f t="shared" si="4"/>
        <v>0.041649656391752145</v>
      </c>
      <c r="I7" s="74">
        <v>192</v>
      </c>
      <c r="J7" s="72">
        <v>700</v>
      </c>
      <c r="K7" s="76">
        <f t="shared" si="5"/>
        <v>0.2742857142857143</v>
      </c>
      <c r="L7" s="76">
        <f t="shared" si="6"/>
        <v>0.01979486637221574</v>
      </c>
      <c r="M7" s="75">
        <f t="shared" si="7"/>
        <v>0.94</v>
      </c>
      <c r="N7" s="75">
        <f t="shared" si="8"/>
        <v>0.046114321118768495</v>
      </c>
      <c r="O7" s="127">
        <v>1</v>
      </c>
      <c r="P7" s="81">
        <v>0.03</v>
      </c>
      <c r="Q7" s="128">
        <v>8.18</v>
      </c>
      <c r="R7" s="127">
        <f t="shared" si="9"/>
        <v>1.7413194444452529</v>
      </c>
      <c r="S7" s="76">
        <f t="shared" si="10"/>
        <v>0.1208159208426597</v>
      </c>
      <c r="T7" s="76">
        <f t="shared" si="11"/>
        <v>0.005926961882976729</v>
      </c>
      <c r="U7" s="40" t="s">
        <v>81</v>
      </c>
      <c r="W7" s="85">
        <v>0.46316685637412525</v>
      </c>
      <c r="X7" s="85">
        <v>0.007299029586073269</v>
      </c>
      <c r="Y7" s="129">
        <f t="shared" si="12"/>
        <v>0.26084750922909317</v>
      </c>
      <c r="Z7" s="76">
        <f t="shared" si="13"/>
        <v>0.015552750365464097</v>
      </c>
      <c r="AB7" s="130">
        <f t="shared" si="14"/>
        <v>0</v>
      </c>
      <c r="AC7" s="154">
        <f t="shared" si="0"/>
        <v>0</v>
      </c>
      <c r="AD7" s="153">
        <f t="shared" si="1"/>
        <v>0</v>
      </c>
      <c r="AE7" s="153">
        <f t="shared" si="2"/>
        <v>0</v>
      </c>
      <c r="AF7" s="154">
        <f t="shared" si="15"/>
        <v>0</v>
      </c>
      <c r="AG7" s="154" t="e">
        <f t="shared" si="16"/>
        <v>#DIV/0!</v>
      </c>
    </row>
    <row r="8" spans="1:33" ht="16.5">
      <c r="A8" s="88" t="s">
        <v>72</v>
      </c>
      <c r="B8" s="124">
        <v>41122.385416666664</v>
      </c>
      <c r="C8" s="42">
        <v>41122.419444444444</v>
      </c>
      <c r="D8" s="42">
        <v>41124.11388888889</v>
      </c>
      <c r="E8" s="125">
        <v>892</v>
      </c>
      <c r="F8" s="126">
        <v>700</v>
      </c>
      <c r="G8" s="75">
        <f t="shared" si="3"/>
        <v>1.2742857142857142</v>
      </c>
      <c r="H8" s="75">
        <f t="shared" si="4"/>
        <v>0.04266624149448022</v>
      </c>
      <c r="I8" s="74">
        <v>283</v>
      </c>
      <c r="J8" s="72">
        <v>700</v>
      </c>
      <c r="K8" s="76">
        <f t="shared" si="5"/>
        <v>0.4042857142857143</v>
      </c>
      <c r="L8" s="76">
        <f t="shared" si="6"/>
        <v>0.02403229120180103</v>
      </c>
      <c r="M8" s="75">
        <f t="shared" si="7"/>
        <v>0.8699999999999999</v>
      </c>
      <c r="N8" s="75">
        <f t="shared" si="8"/>
        <v>0.048968961431436024</v>
      </c>
      <c r="O8" s="127">
        <v>1</v>
      </c>
      <c r="P8" s="81">
        <v>0.03</v>
      </c>
      <c r="Q8" s="128">
        <v>8.07</v>
      </c>
      <c r="R8" s="127">
        <f t="shared" si="9"/>
        <v>1.6944444444452529</v>
      </c>
      <c r="S8" s="76">
        <f t="shared" si="10"/>
        <v>0.11319046735621413</v>
      </c>
      <c r="T8" s="76">
        <f t="shared" si="11"/>
        <v>0.006371057046405367</v>
      </c>
      <c r="U8" s="40" t="s">
        <v>82</v>
      </c>
      <c r="W8" s="85">
        <v>0.45427849699069184</v>
      </c>
      <c r="X8" s="85">
        <v>0.0071602879945378934</v>
      </c>
      <c r="Y8" s="129">
        <f t="shared" si="12"/>
        <v>0.24916536465192496</v>
      </c>
      <c r="Z8" s="76">
        <f t="shared" si="13"/>
        <v>0.01637031481546533</v>
      </c>
      <c r="AB8" s="130">
        <f t="shared" si="14"/>
        <v>0</v>
      </c>
      <c r="AC8" s="154">
        <f t="shared" si="0"/>
        <v>0</v>
      </c>
      <c r="AD8" s="153">
        <f t="shared" si="1"/>
        <v>0</v>
      </c>
      <c r="AE8" s="153">
        <f t="shared" si="2"/>
        <v>0</v>
      </c>
      <c r="AF8" s="154">
        <f t="shared" si="15"/>
        <v>0</v>
      </c>
      <c r="AG8" s="154" t="e">
        <f t="shared" si="16"/>
        <v>#DIV/0!</v>
      </c>
    </row>
    <row r="9" spans="1:33" ht="16.5">
      <c r="A9" s="88" t="s">
        <v>73</v>
      </c>
      <c r="B9" s="124">
        <v>41122.385416666664</v>
      </c>
      <c r="C9" s="42">
        <v>41122.44756944444</v>
      </c>
      <c r="D9" s="42">
        <v>41124.11493055556</v>
      </c>
      <c r="E9" s="125">
        <v>899</v>
      </c>
      <c r="F9" s="126">
        <v>700</v>
      </c>
      <c r="G9" s="75">
        <f t="shared" si="3"/>
        <v>1.2842857142857143</v>
      </c>
      <c r="H9" s="75">
        <f t="shared" si="4"/>
        <v>0.04283332671589986</v>
      </c>
      <c r="I9" s="74">
        <v>266</v>
      </c>
      <c r="J9" s="72">
        <v>700</v>
      </c>
      <c r="K9" s="76">
        <f t="shared" si="5"/>
        <v>0.38</v>
      </c>
      <c r="L9" s="76">
        <f t="shared" si="6"/>
        <v>0.0232992949004287</v>
      </c>
      <c r="M9" s="75">
        <f t="shared" si="7"/>
        <v>0.9042857142857142</v>
      </c>
      <c r="N9" s="75">
        <f t="shared" si="8"/>
        <v>0.04876013761678861</v>
      </c>
      <c r="O9" s="127">
        <v>1</v>
      </c>
      <c r="P9" s="81">
        <v>0.03</v>
      </c>
      <c r="Q9" s="128">
        <v>8.17</v>
      </c>
      <c r="R9" s="127">
        <f t="shared" si="9"/>
        <v>1.6673611111182254</v>
      </c>
      <c r="S9" s="76">
        <f t="shared" si="10"/>
        <v>0.11612065301546745</v>
      </c>
      <c r="T9" s="76">
        <f t="shared" si="11"/>
        <v>0.00626136068693505</v>
      </c>
      <c r="U9" s="40" t="s">
        <v>84</v>
      </c>
      <c r="W9" s="75">
        <v>0.4471968722347576</v>
      </c>
      <c r="X9" s="75">
        <v>0.0072230719511510895</v>
      </c>
      <c r="Y9" s="129">
        <f t="shared" si="12"/>
        <v>0.2596633836797264</v>
      </c>
      <c r="Z9" s="76">
        <f t="shared" si="13"/>
        <v>0.016562321516279694</v>
      </c>
      <c r="AB9" s="130">
        <f t="shared" si="14"/>
        <v>0</v>
      </c>
      <c r="AC9" s="154">
        <f t="shared" si="0"/>
        <v>0</v>
      </c>
      <c r="AD9" s="153">
        <f t="shared" si="1"/>
        <v>0</v>
      </c>
      <c r="AE9" s="153">
        <f t="shared" si="2"/>
        <v>0</v>
      </c>
      <c r="AF9" s="154">
        <f t="shared" si="15"/>
        <v>0</v>
      </c>
      <c r="AG9" s="154" t="e">
        <f t="shared" si="16"/>
        <v>#DIV/0!</v>
      </c>
    </row>
    <row r="10" spans="1:33" ht="16.5">
      <c r="A10" s="88" t="s">
        <v>74</v>
      </c>
      <c r="B10" s="124">
        <v>41122.385416666664</v>
      </c>
      <c r="C10" s="42">
        <v>41122.44479166667</v>
      </c>
      <c r="D10" s="42">
        <v>41124.11493055556</v>
      </c>
      <c r="E10" s="125">
        <v>1138</v>
      </c>
      <c r="F10" s="126">
        <v>700</v>
      </c>
      <c r="G10" s="75">
        <f t="shared" si="3"/>
        <v>1.6257142857142857</v>
      </c>
      <c r="H10" s="75">
        <f t="shared" si="4"/>
        <v>0.04819179369552286</v>
      </c>
      <c r="I10" s="74">
        <v>244</v>
      </c>
      <c r="J10" s="72">
        <v>700</v>
      </c>
      <c r="K10" s="76">
        <f t="shared" si="5"/>
        <v>0.3485714285714286</v>
      </c>
      <c r="L10" s="76">
        <f t="shared" si="6"/>
        <v>0.02231499907401901</v>
      </c>
      <c r="M10" s="75">
        <f t="shared" si="7"/>
        <v>1.2771428571428571</v>
      </c>
      <c r="N10" s="75">
        <f t="shared" si="8"/>
        <v>0.05310751512983173</v>
      </c>
      <c r="O10" s="127">
        <v>1</v>
      </c>
      <c r="P10" s="81">
        <v>0.03</v>
      </c>
      <c r="Q10" s="128">
        <v>8.09</v>
      </c>
      <c r="R10" s="127">
        <f t="shared" si="9"/>
        <v>1.6701388888905058</v>
      </c>
      <c r="S10" s="76">
        <f t="shared" si="10"/>
        <v>0.16563476980229322</v>
      </c>
      <c r="T10" s="76">
        <f t="shared" si="11"/>
        <v>0.006887601488043666</v>
      </c>
      <c r="U10" s="40" t="s">
        <v>85</v>
      </c>
      <c r="W10" s="75">
        <v>0.449145751849492</v>
      </c>
      <c r="X10" s="75">
        <v>0.007399333027411381</v>
      </c>
      <c r="Y10" s="129">
        <f t="shared" si="12"/>
        <v>0.3687773270040794</v>
      </c>
      <c r="Z10" s="76">
        <f t="shared" si="13"/>
        <v>0.019861156058625498</v>
      </c>
      <c r="AB10" s="130">
        <f t="shared" si="14"/>
        <v>0</v>
      </c>
      <c r="AC10" s="154">
        <f t="shared" si="0"/>
        <v>0</v>
      </c>
      <c r="AD10" s="153">
        <f t="shared" si="1"/>
        <v>0</v>
      </c>
      <c r="AE10" s="153">
        <f t="shared" si="2"/>
        <v>0</v>
      </c>
      <c r="AF10" s="154">
        <f t="shared" si="15"/>
        <v>0</v>
      </c>
      <c r="AG10" s="154" t="e">
        <f t="shared" si="16"/>
        <v>#DIV/0!</v>
      </c>
    </row>
    <row r="11" spans="1:33" ht="16.5">
      <c r="A11" s="88" t="s">
        <v>75</v>
      </c>
      <c r="B11" s="124">
        <v>41122.444444444445</v>
      </c>
      <c r="C11" s="42">
        <v>41122.49513888889</v>
      </c>
      <c r="D11" s="42">
        <v>41124.11493055556</v>
      </c>
      <c r="E11" s="125">
        <v>967</v>
      </c>
      <c r="F11" s="126">
        <v>700</v>
      </c>
      <c r="G11" s="75">
        <f t="shared" si="3"/>
        <v>1.3814285714285715</v>
      </c>
      <c r="H11" s="75">
        <f t="shared" si="4"/>
        <v>0.04442374801561775</v>
      </c>
      <c r="I11" s="74">
        <v>262</v>
      </c>
      <c r="J11" s="72">
        <v>700</v>
      </c>
      <c r="K11" s="76">
        <f t="shared" si="5"/>
        <v>0.3742857142857143</v>
      </c>
      <c r="L11" s="76">
        <f t="shared" si="6"/>
        <v>0.023123448651769494</v>
      </c>
      <c r="M11" s="75">
        <f t="shared" si="7"/>
        <v>1.0071428571428571</v>
      </c>
      <c r="N11" s="75">
        <f t="shared" si="8"/>
        <v>0.05008156612273744</v>
      </c>
      <c r="O11" s="127">
        <v>1</v>
      </c>
      <c r="P11" s="81">
        <v>0.03</v>
      </c>
      <c r="Q11" s="128">
        <v>7.45</v>
      </c>
      <c r="R11" s="127">
        <f t="shared" si="9"/>
        <v>1.6197916666715173</v>
      </c>
      <c r="S11" s="76">
        <f t="shared" si="10"/>
        <v>0.1416336681889707</v>
      </c>
      <c r="T11" s="76">
        <f t="shared" si="11"/>
        <v>0.007042929280891139</v>
      </c>
      <c r="U11" s="40" t="s">
        <v>86</v>
      </c>
      <c r="W11" s="75">
        <v>0.4537788103824521</v>
      </c>
      <c r="X11" s="75">
        <v>0.007623468238859981</v>
      </c>
      <c r="Y11" s="129">
        <f t="shared" si="12"/>
        <v>0.3121204978028823</v>
      </c>
      <c r="Z11" s="76">
        <f t="shared" si="13"/>
        <v>0.018869617570850476</v>
      </c>
      <c r="AB11" s="130">
        <f t="shared" si="14"/>
        <v>0</v>
      </c>
      <c r="AC11" s="154">
        <f t="shared" si="0"/>
        <v>0</v>
      </c>
      <c r="AD11" s="153">
        <f t="shared" si="1"/>
        <v>0</v>
      </c>
      <c r="AE11" s="153">
        <f t="shared" si="2"/>
        <v>0</v>
      </c>
      <c r="AF11" s="154">
        <f t="shared" si="15"/>
        <v>0</v>
      </c>
      <c r="AG11" s="154" t="e">
        <f t="shared" si="16"/>
        <v>#DIV/0!</v>
      </c>
    </row>
    <row r="12" spans="1:33" ht="16.5">
      <c r="A12" s="88" t="s">
        <v>76</v>
      </c>
      <c r="B12" s="124">
        <v>41122.4125</v>
      </c>
      <c r="C12" s="42">
        <v>41122.479166666664</v>
      </c>
      <c r="D12" s="42">
        <v>41124.11493055556</v>
      </c>
      <c r="E12" s="125">
        <v>1130</v>
      </c>
      <c r="F12" s="126">
        <v>700</v>
      </c>
      <c r="G12" s="75">
        <f t="shared" si="3"/>
        <v>1.6142857142857143</v>
      </c>
      <c r="H12" s="75">
        <f t="shared" si="4"/>
        <v>0.0480221037542046</v>
      </c>
      <c r="I12" s="74">
        <v>204</v>
      </c>
      <c r="J12" s="72">
        <v>700</v>
      </c>
      <c r="K12" s="76">
        <f t="shared" si="5"/>
        <v>0.2914285714285714</v>
      </c>
      <c r="L12" s="76">
        <f t="shared" si="6"/>
        <v>0.020404081224408142</v>
      </c>
      <c r="M12" s="75">
        <f t="shared" si="7"/>
        <v>1.322857142857143</v>
      </c>
      <c r="N12" s="75">
        <f t="shared" si="8"/>
        <v>0.05217709247928478</v>
      </c>
      <c r="O12" s="127">
        <v>1</v>
      </c>
      <c r="P12" s="81">
        <v>0.03</v>
      </c>
      <c r="Q12" s="128">
        <v>8</v>
      </c>
      <c r="R12" s="127">
        <f t="shared" si="9"/>
        <v>1.6357638888948713</v>
      </c>
      <c r="S12" s="76">
        <f t="shared" si="10"/>
        <v>0.17332218548850306</v>
      </c>
      <c r="T12" s="76">
        <f t="shared" si="11"/>
        <v>0.006836299557950066</v>
      </c>
      <c r="U12" s="40" t="s">
        <v>87</v>
      </c>
      <c r="W12" s="75">
        <v>0.45768373642418503</v>
      </c>
      <c r="X12" s="75">
        <v>0.007219647777148003</v>
      </c>
      <c r="Y12" s="129">
        <f t="shared" si="12"/>
        <v>0.3786942198179108</v>
      </c>
      <c r="Z12" s="76">
        <f t="shared" si="13"/>
        <v>0.019694130114332773</v>
      </c>
      <c r="AB12" s="130">
        <f t="shared" si="14"/>
        <v>0</v>
      </c>
      <c r="AC12" s="154">
        <f t="shared" si="0"/>
        <v>0</v>
      </c>
      <c r="AD12" s="153">
        <f t="shared" si="1"/>
        <v>0</v>
      </c>
      <c r="AE12" s="153">
        <f t="shared" si="2"/>
        <v>0</v>
      </c>
      <c r="AF12" s="154">
        <f t="shared" si="15"/>
        <v>0</v>
      </c>
      <c r="AG12" s="154" t="e">
        <f t="shared" si="16"/>
        <v>#DIV/0!</v>
      </c>
    </row>
    <row r="13" spans="1:33" ht="16.5">
      <c r="A13" s="88" t="s">
        <v>77</v>
      </c>
      <c r="B13" s="124">
        <v>41122.4125</v>
      </c>
      <c r="C13" s="42">
        <v>41122.47395833333</v>
      </c>
      <c r="D13" s="42">
        <v>41124.11493055556</v>
      </c>
      <c r="E13" s="125">
        <v>1698</v>
      </c>
      <c r="F13" s="126">
        <v>700</v>
      </c>
      <c r="G13" s="75">
        <f t="shared" si="3"/>
        <v>2.4257142857142857</v>
      </c>
      <c r="H13" s="75">
        <f t="shared" si="4"/>
        <v>0.058866850794390045</v>
      </c>
      <c r="I13" s="74">
        <v>601</v>
      </c>
      <c r="J13" s="72">
        <v>700</v>
      </c>
      <c r="K13" s="76">
        <f t="shared" si="5"/>
        <v>0.8585714285714285</v>
      </c>
      <c r="L13" s="76">
        <f t="shared" si="6"/>
        <v>0.03502185906323218</v>
      </c>
      <c r="M13" s="75">
        <f t="shared" si="7"/>
        <v>1.5671428571428572</v>
      </c>
      <c r="N13" s="75">
        <f t="shared" si="8"/>
        <v>0.0684969833984963</v>
      </c>
      <c r="O13" s="127">
        <v>1</v>
      </c>
      <c r="P13" s="81">
        <v>0.03</v>
      </c>
      <c r="Q13" s="128">
        <v>8</v>
      </c>
      <c r="R13" s="127">
        <f t="shared" si="9"/>
        <v>1.64097222223063</v>
      </c>
      <c r="S13" s="76">
        <f t="shared" si="10"/>
        <v>0.20535952501983093</v>
      </c>
      <c r="T13" s="76">
        <f t="shared" si="11"/>
        <v>0.008975893877123529</v>
      </c>
      <c r="U13" s="40" t="s">
        <v>88</v>
      </c>
      <c r="W13" s="75">
        <v>0.44844717123323635</v>
      </c>
      <c r="X13" s="75">
        <v>0.007075747226624152</v>
      </c>
      <c r="Y13" s="129">
        <f t="shared" si="12"/>
        <v>0.45793470935514924</v>
      </c>
      <c r="Z13" s="76">
        <f t="shared" si="13"/>
        <v>0.02532905500175663</v>
      </c>
      <c r="AB13" s="130">
        <f t="shared" si="14"/>
        <v>0</v>
      </c>
      <c r="AC13" s="154">
        <f t="shared" si="0"/>
        <v>0</v>
      </c>
      <c r="AD13" s="153">
        <f t="shared" si="1"/>
        <v>0</v>
      </c>
      <c r="AE13" s="153">
        <f t="shared" si="2"/>
        <v>0</v>
      </c>
      <c r="AF13" s="154">
        <f t="shared" si="15"/>
        <v>0</v>
      </c>
      <c r="AG13" s="154" t="e">
        <f t="shared" si="16"/>
        <v>#DIV/0!</v>
      </c>
    </row>
    <row r="14" spans="1:33" ht="16.5">
      <c r="A14" s="88" t="s">
        <v>78</v>
      </c>
      <c r="B14" s="124">
        <v>41122.4125</v>
      </c>
      <c r="C14" s="42">
        <v>41122.480208333334</v>
      </c>
      <c r="D14" s="42">
        <v>41126.61388888889</v>
      </c>
      <c r="E14" s="125">
        <v>1648</v>
      </c>
      <c r="F14" s="126">
        <v>700</v>
      </c>
      <c r="G14" s="75">
        <f t="shared" si="3"/>
        <v>2.354285714285714</v>
      </c>
      <c r="H14" s="75">
        <f t="shared" si="4"/>
        <v>0.05799366608624125</v>
      </c>
      <c r="I14" s="74">
        <v>290</v>
      </c>
      <c r="J14" s="72">
        <v>700</v>
      </c>
      <c r="K14" s="76">
        <f>I14/J14</f>
        <v>0.4142857142857143</v>
      </c>
      <c r="L14" s="76">
        <f t="shared" si="6"/>
        <v>0.02432769480846629</v>
      </c>
      <c r="M14" s="75">
        <f t="shared" si="7"/>
        <v>1.9399999999999997</v>
      </c>
      <c r="N14" s="75">
        <f t="shared" si="8"/>
        <v>0.06288960200872896</v>
      </c>
      <c r="O14" s="127">
        <v>1</v>
      </c>
      <c r="P14" s="81">
        <v>0.03</v>
      </c>
      <c r="Q14" s="128">
        <v>8</v>
      </c>
      <c r="R14" s="127">
        <f t="shared" si="9"/>
        <v>4.133680555554747</v>
      </c>
      <c r="S14" s="76">
        <f t="shared" si="10"/>
        <v>0.2731132005189342</v>
      </c>
      <c r="T14" s="76">
        <f t="shared" si="11"/>
        <v>0.00885359818761132</v>
      </c>
      <c r="U14" s="40" t="s">
        <v>79</v>
      </c>
      <c r="W14" s="85">
        <v>0.45427419422797033</v>
      </c>
      <c r="X14" s="85">
        <v>0.007476846219301492</v>
      </c>
      <c r="Y14" s="129">
        <f t="shared" si="12"/>
        <v>0.6012078255580519</v>
      </c>
      <c r="Z14" s="76">
        <f t="shared" si="13"/>
        <v>0.02833837288227393</v>
      </c>
      <c r="AB14" s="130">
        <f t="shared" si="14"/>
        <v>0</v>
      </c>
      <c r="AC14" s="154">
        <f t="shared" si="0"/>
        <v>0</v>
      </c>
      <c r="AD14" s="153">
        <f t="shared" si="1"/>
        <v>0</v>
      </c>
      <c r="AE14" s="153">
        <f t="shared" si="2"/>
        <v>0</v>
      </c>
      <c r="AF14" s="154">
        <f t="shared" si="15"/>
        <v>0</v>
      </c>
      <c r="AG14" s="154" t="e">
        <f t="shared" si="16"/>
        <v>#DIV/0!</v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"/>
  <sheetViews>
    <sheetView tabSelected="1" zoomScalePageLayoutView="0" workbookViewId="0" topLeftCell="A1">
      <pane xSplit="1" ySplit="6" topLeftCell="AH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R19" activeCellId="1" sqref="AP11 AR19"/>
    </sheetView>
  </sheetViews>
  <sheetFormatPr defaultColWidth="9.00390625" defaultRowHeight="14.25"/>
  <cols>
    <col min="1" max="1" width="13.75390625" style="1" customWidth="1"/>
    <col min="2" max="2" width="14.75390625" style="1" customWidth="1"/>
    <col min="3" max="3" width="13.125" style="1" customWidth="1"/>
    <col min="4" max="4" width="15.375" style="1" customWidth="1"/>
    <col min="5" max="5" width="12.25390625" style="44" customWidth="1"/>
    <col min="6" max="6" width="13.00390625" style="29" customWidth="1"/>
    <col min="7" max="7" width="13.00390625" style="10" customWidth="1"/>
    <col min="8" max="8" width="10.625" style="10" customWidth="1"/>
    <col min="9" max="10" width="10.625" style="29" customWidth="1"/>
    <col min="11" max="11" width="10.625" style="1" customWidth="1"/>
    <col min="12" max="12" width="9.50390625" style="1" customWidth="1"/>
    <col min="13" max="13" width="11.25390625" style="1" customWidth="1"/>
    <col min="14" max="14" width="8.00390625" style="1" customWidth="1"/>
    <col min="15" max="15" width="9.00390625" style="1" customWidth="1"/>
    <col min="16" max="16" width="7.25390625" style="1" customWidth="1"/>
    <col min="17" max="17" width="9.00390625" style="1" customWidth="1"/>
    <col min="18" max="18" width="13.75390625" style="1" customWidth="1"/>
    <col min="19" max="19" width="13.125" style="1" customWidth="1"/>
    <col min="20" max="23" width="9.00390625" style="1" customWidth="1"/>
    <col min="24" max="24" width="10.25390625" style="1" customWidth="1"/>
    <col min="25" max="25" width="10.25390625" style="9" customWidth="1"/>
    <col min="26" max="26" width="10.25390625" style="1" customWidth="1"/>
    <col min="27" max="27" width="15.625" style="1" customWidth="1"/>
    <col min="28" max="28" width="9.00390625" style="1" customWidth="1"/>
    <col min="29" max="29" width="9.00390625" style="43" customWidth="1"/>
    <col min="30" max="30" width="11.125" style="1" customWidth="1"/>
    <col min="31" max="31" width="8.125" style="1" customWidth="1"/>
    <col min="32" max="32" width="11.375" style="1" customWidth="1"/>
    <col min="33" max="33" width="13.625" style="1" customWidth="1"/>
    <col min="34" max="37" width="9.00390625" style="1" customWidth="1"/>
    <col min="38" max="38" width="9.00390625" style="45" customWidth="1"/>
    <col min="39" max="39" width="9.00390625" style="1" customWidth="1"/>
    <col min="40" max="40" width="14.375" style="1" customWidth="1"/>
    <col min="41" max="41" width="13.25390625" style="1" customWidth="1"/>
    <col min="42" max="42" width="14.875" style="46" customWidth="1"/>
    <col min="43" max="43" width="13.25390625" style="46" customWidth="1"/>
    <col min="44" max="45" width="13.25390625" style="47" customWidth="1"/>
    <col min="46" max="46" width="9.00390625" style="1" customWidth="1"/>
    <col min="47" max="47" width="16.00390625" style="1" customWidth="1"/>
    <col min="48" max="48" width="13.50390625" style="1" customWidth="1"/>
    <col min="49" max="49" width="15.75390625" style="1" customWidth="1"/>
    <col min="50" max="50" width="19.875" style="1" customWidth="1"/>
    <col min="51" max="16384" width="9.00390625" style="1" customWidth="1"/>
  </cols>
  <sheetData>
    <row r="1" spans="1:45" s="50" customFormat="1" ht="15">
      <c r="A1" s="50" t="s">
        <v>134</v>
      </c>
      <c r="E1" s="51"/>
      <c r="F1" s="52"/>
      <c r="G1" s="53"/>
      <c r="H1" s="53"/>
      <c r="I1" s="52"/>
      <c r="J1" s="52"/>
      <c r="Y1" s="54"/>
      <c r="AC1" s="55"/>
      <c r="AL1" s="56"/>
      <c r="AP1" s="57"/>
      <c r="AQ1" s="57"/>
      <c r="AR1" s="58"/>
      <c r="AS1" s="58"/>
    </row>
    <row r="2" spans="1:45" s="62" customFormat="1" ht="15">
      <c r="A2" s="62" t="s">
        <v>93</v>
      </c>
      <c r="E2" s="63"/>
      <c r="F2" s="64"/>
      <c r="G2" s="65"/>
      <c r="H2" s="65"/>
      <c r="I2" s="64"/>
      <c r="J2" s="64"/>
      <c r="Y2" s="66"/>
      <c r="AC2" s="67"/>
      <c r="AL2" s="68"/>
      <c r="AP2" s="69"/>
      <c r="AQ2" s="69"/>
      <c r="AR2" s="70"/>
      <c r="AS2" s="70"/>
    </row>
    <row r="3" spans="5:45" s="72" customFormat="1" ht="15">
      <c r="E3" s="73"/>
      <c r="F3" s="74"/>
      <c r="G3" s="75"/>
      <c r="H3" s="75"/>
      <c r="I3" s="74"/>
      <c r="J3" s="74"/>
      <c r="Y3" s="76"/>
      <c r="AC3" s="77"/>
      <c r="AL3" s="78"/>
      <c r="AP3" s="79"/>
      <c r="AQ3" s="79"/>
      <c r="AR3" s="80"/>
      <c r="AS3" s="80"/>
    </row>
    <row r="4" spans="5:45" s="72" customFormat="1" ht="15">
      <c r="E4" s="73"/>
      <c r="F4" s="74"/>
      <c r="G4" s="75"/>
      <c r="H4" s="75"/>
      <c r="I4" s="74"/>
      <c r="J4" s="74"/>
      <c r="Y4" s="76"/>
      <c r="AC4" s="77"/>
      <c r="AL4" s="78"/>
      <c r="AP4" s="79"/>
      <c r="AQ4" s="79"/>
      <c r="AR4" s="80"/>
      <c r="AS4" s="80"/>
    </row>
    <row r="5" spans="5:45" s="72" customFormat="1" ht="15">
      <c r="E5" s="73"/>
      <c r="F5" s="74"/>
      <c r="G5" s="75"/>
      <c r="H5" s="75"/>
      <c r="I5" s="74"/>
      <c r="J5" s="74"/>
      <c r="Y5" s="76"/>
      <c r="AC5" s="77"/>
      <c r="AL5" s="78"/>
      <c r="AP5" s="79"/>
      <c r="AQ5" s="79"/>
      <c r="AR5" s="80"/>
      <c r="AS5" s="80"/>
    </row>
    <row r="6" spans="1:47" s="26" customFormat="1" ht="18">
      <c r="A6" s="3" t="s">
        <v>0</v>
      </c>
      <c r="B6" s="18" t="s">
        <v>1</v>
      </c>
      <c r="C6" s="3" t="s">
        <v>2</v>
      </c>
      <c r="D6" s="3" t="s">
        <v>35</v>
      </c>
      <c r="E6" s="19" t="s">
        <v>36</v>
      </c>
      <c r="F6" s="20" t="s">
        <v>37</v>
      </c>
      <c r="G6" s="21" t="s">
        <v>38</v>
      </c>
      <c r="H6" s="21" t="s">
        <v>39</v>
      </c>
      <c r="I6" s="49" t="s">
        <v>40</v>
      </c>
      <c r="J6" s="20" t="s">
        <v>41</v>
      </c>
      <c r="K6" s="22" t="s">
        <v>42</v>
      </c>
      <c r="L6" s="22" t="s">
        <v>43</v>
      </c>
      <c r="M6" s="22" t="s">
        <v>44</v>
      </c>
      <c r="N6" s="22" t="s">
        <v>39</v>
      </c>
      <c r="O6" s="151" t="s">
        <v>92</v>
      </c>
      <c r="P6" s="22" t="s">
        <v>4</v>
      </c>
      <c r="Q6" s="25" t="s">
        <v>5</v>
      </c>
      <c r="R6" s="25" t="s">
        <v>45</v>
      </c>
      <c r="S6" s="3" t="s">
        <v>6</v>
      </c>
      <c r="T6" s="3" t="s">
        <v>4</v>
      </c>
      <c r="U6" s="3" t="s">
        <v>6</v>
      </c>
      <c r="V6" s="3" t="s">
        <v>4</v>
      </c>
      <c r="W6" s="23" t="s">
        <v>7</v>
      </c>
      <c r="X6" s="71" t="s">
        <v>46</v>
      </c>
      <c r="Y6" s="48" t="s">
        <v>46</v>
      </c>
      <c r="Z6" s="3" t="s">
        <v>18</v>
      </c>
      <c r="AA6" s="3" t="s">
        <v>8</v>
      </c>
      <c r="AB6" s="3" t="s">
        <v>4</v>
      </c>
      <c r="AC6" s="24" t="s">
        <v>9</v>
      </c>
      <c r="AD6" s="25" t="s">
        <v>10</v>
      </c>
      <c r="AE6" s="25" t="s">
        <v>43</v>
      </c>
      <c r="AF6" s="3" t="s">
        <v>11</v>
      </c>
      <c r="AG6" s="3" t="s">
        <v>12</v>
      </c>
      <c r="AH6" s="3" t="s">
        <v>13</v>
      </c>
      <c r="AI6" s="3" t="s">
        <v>4</v>
      </c>
      <c r="AJ6" s="3" t="s">
        <v>47</v>
      </c>
      <c r="AK6" s="3" t="s">
        <v>43</v>
      </c>
      <c r="AL6" s="31" t="s">
        <v>14</v>
      </c>
      <c r="AM6" s="27" t="s">
        <v>4</v>
      </c>
      <c r="AN6" s="28" t="s">
        <v>89</v>
      </c>
      <c r="AO6" s="28" t="s">
        <v>48</v>
      </c>
      <c r="AP6" s="32" t="s">
        <v>90</v>
      </c>
      <c r="AQ6" s="32" t="s">
        <v>20</v>
      </c>
      <c r="AR6" s="33" t="s">
        <v>55</v>
      </c>
      <c r="AS6" s="33" t="s">
        <v>20</v>
      </c>
      <c r="AT6" s="3" t="s">
        <v>15</v>
      </c>
      <c r="AU6" s="3" t="s">
        <v>49</v>
      </c>
    </row>
    <row r="7" spans="1:50" s="72" customFormat="1" ht="16.5">
      <c r="A7" s="89" t="s">
        <v>57</v>
      </c>
      <c r="B7" s="37">
        <v>41122.33888888889</v>
      </c>
      <c r="C7" s="38">
        <v>41124.066666666666</v>
      </c>
      <c r="D7" s="37">
        <v>41126.123611111114</v>
      </c>
      <c r="E7" s="40">
        <v>993</v>
      </c>
      <c r="F7" s="39">
        <v>700</v>
      </c>
      <c r="G7" s="75">
        <f aca="true" t="shared" si="0" ref="G7:G17">E7/F7</f>
        <v>1.4185714285714286</v>
      </c>
      <c r="H7" s="75">
        <f aca="true" t="shared" si="1" ref="H7:H17">SQRT(E7)/F7</f>
        <v>0.04501700359025351</v>
      </c>
      <c r="I7" s="74">
        <v>327</v>
      </c>
      <c r="J7" s="74">
        <v>700</v>
      </c>
      <c r="K7" s="90">
        <f>I7/J7</f>
        <v>0.46714285714285714</v>
      </c>
      <c r="L7" s="90">
        <f>SQRT(I7)/J7</f>
        <v>0.02583305902860732</v>
      </c>
      <c r="M7" s="90">
        <f>G7-K7</f>
        <v>0.9514285714285715</v>
      </c>
      <c r="N7" s="90">
        <f>SQRT(H7*H7+L7*L7)</f>
        <v>0.051902577498814134</v>
      </c>
      <c r="O7" s="90">
        <f>'Th recovery'!M6</f>
        <v>0.40995199206860194</v>
      </c>
      <c r="P7" s="81">
        <f>'Th recovery'!N6</f>
        <v>0.015682923424309783</v>
      </c>
      <c r="Q7" s="41">
        <v>4</v>
      </c>
      <c r="R7" s="91">
        <f>D7-C7</f>
        <v>2.0569444444481633</v>
      </c>
      <c r="S7" s="90">
        <f>M7/EXP(-0.02876*R7)/Q7</f>
        <v>0.25235276647655525</v>
      </c>
      <c r="T7" s="90">
        <f>N7/M7*S7</f>
        <v>0.013766413383427458</v>
      </c>
      <c r="U7" s="90">
        <f>S7/O7</f>
        <v>0.6155666306271447</v>
      </c>
      <c r="V7" s="90">
        <f>SQRT(P7*P7/(O7*O7)+T7*T7/(S7*S7))*U7</f>
        <v>0.04101463288255921</v>
      </c>
      <c r="W7" s="92" t="s">
        <v>91</v>
      </c>
      <c r="X7" s="90"/>
      <c r="Y7" s="85">
        <v>0.45494788706554307</v>
      </c>
      <c r="Z7" s="85">
        <v>0.007337859270473155</v>
      </c>
      <c r="AA7" s="90">
        <f>U7/Y7</f>
        <v>1.3530486636559798</v>
      </c>
      <c r="AB7" s="90">
        <f>AA7*SQRT(V7^2/U7^2+Z7^2/Y7^2)</f>
        <v>0.0927561796508185</v>
      </c>
      <c r="AC7" s="86">
        <v>33.5915</v>
      </c>
      <c r="AD7" s="91">
        <f>0.0713*AC7</f>
        <v>2.3950739500000005</v>
      </c>
      <c r="AE7" s="91">
        <f aca="true" t="shared" si="2" ref="AE7:AE17">0.03*AD7</f>
        <v>0.07185221850000001</v>
      </c>
      <c r="AF7" s="90">
        <f>AD7*(1-EXP(-0.02876*(C7-B7)))</f>
        <v>0.11610478908151821</v>
      </c>
      <c r="AG7" s="90">
        <f>EXP(-0.02876*(C7-B7))</f>
        <v>0.9515235055345501</v>
      </c>
      <c r="AH7" s="90">
        <f>(AA7-AF7)/AG7</f>
        <v>1.2999614485399045</v>
      </c>
      <c r="AI7" s="90">
        <f>AB7/AG7</f>
        <v>0.09748175332642951</v>
      </c>
      <c r="AJ7" s="90">
        <f>AH7/AD7</f>
        <v>0.5427646392880288</v>
      </c>
      <c r="AK7" s="90">
        <f>AJ7*SQRT(AI7^2/AH7^2+AE7^2/AD7^2)</f>
        <v>0.043837202919483335</v>
      </c>
      <c r="AL7" s="93">
        <f aca="true" t="shared" si="3" ref="AL7:AL12">0.02876*((AD7+AD8)/2-(AH7+AH8)/2)*1000*25</f>
        <v>738.3499015063796</v>
      </c>
      <c r="AM7" s="94">
        <f aca="true" t="shared" si="4" ref="AM7:AM12">0.02876*SQRT(AE7^2+AE8^2+AI7^2+AI8^2)/2*1000*25</f>
        <v>54.8614309724057</v>
      </c>
      <c r="AN7" s="87"/>
      <c r="AO7" s="87"/>
      <c r="AP7" s="95"/>
      <c r="AQ7" s="95"/>
      <c r="AR7" s="34"/>
      <c r="AS7" s="34"/>
      <c r="AT7" s="96">
        <v>5</v>
      </c>
      <c r="AU7" s="81"/>
      <c r="AV7" s="81"/>
      <c r="AW7" s="81"/>
      <c r="AX7" s="81"/>
    </row>
    <row r="8" spans="1:49" s="72" customFormat="1" ht="16.5">
      <c r="A8" s="97" t="s">
        <v>58</v>
      </c>
      <c r="B8" s="37">
        <v>41122.33888888889</v>
      </c>
      <c r="C8" s="38">
        <v>41124.01666666666</v>
      </c>
      <c r="D8" s="37">
        <v>41126.123611111114</v>
      </c>
      <c r="E8" s="40">
        <v>1667</v>
      </c>
      <c r="F8" s="39">
        <v>700</v>
      </c>
      <c r="G8" s="75">
        <f t="shared" si="0"/>
        <v>2.3814285714285712</v>
      </c>
      <c r="H8" s="75">
        <f t="shared" si="1"/>
        <v>0.05832701617883887</v>
      </c>
      <c r="I8" s="74">
        <v>336</v>
      </c>
      <c r="J8" s="74">
        <v>700</v>
      </c>
      <c r="K8" s="90">
        <f aca="true" t="shared" si="5" ref="K8:K17">I8/J8</f>
        <v>0.48</v>
      </c>
      <c r="L8" s="90">
        <f aca="true" t="shared" si="6" ref="L8:L17">SQRT(I8)/J8</f>
        <v>0.026186146828319084</v>
      </c>
      <c r="M8" s="90">
        <f>G8-K8</f>
        <v>1.9014285714285712</v>
      </c>
      <c r="N8" s="90">
        <f>SQRT(H8*H8+L8*L8)</f>
        <v>0.06393555428742928</v>
      </c>
      <c r="O8" s="90">
        <f>'Th recovery'!M7</f>
        <v>0.7538226671681382</v>
      </c>
      <c r="P8" s="81">
        <f>'Th recovery'!N7</f>
        <v>0.00392321534777696</v>
      </c>
      <c r="Q8" s="41">
        <v>3.98</v>
      </c>
      <c r="R8" s="91">
        <f>D8-C8</f>
        <v>2.1069444444510737</v>
      </c>
      <c r="S8" s="90">
        <f>M8/EXP(-0.02876*R8)/Q8</f>
        <v>0.5075903198657317</v>
      </c>
      <c r="T8" s="90">
        <f>N8/M8*S8</f>
        <v>0.01706772946362461</v>
      </c>
      <c r="U8" s="90">
        <f>S8/O8</f>
        <v>0.6733550766953986</v>
      </c>
      <c r="V8" s="90">
        <f>SQRT(P8*P8/(O8*O8)+T8*T8/(S8*S8))*U8</f>
        <v>0.02291117089255619</v>
      </c>
      <c r="W8" s="40" t="s">
        <v>79</v>
      </c>
      <c r="Y8" s="85">
        <v>0.45427419422797033</v>
      </c>
      <c r="Z8" s="85">
        <v>0.007476846219301492</v>
      </c>
      <c r="AA8" s="90">
        <f>U8/Y8</f>
        <v>1.4822657444580398</v>
      </c>
      <c r="AB8" s="90">
        <f>AA8*SQRT(V8^2/U8^2+Z8^2/Y8^2)</f>
        <v>0.05602537475025216</v>
      </c>
      <c r="AC8" s="86">
        <v>33.6019</v>
      </c>
      <c r="AD8" s="91">
        <f>0.0713*AC8</f>
        <v>2.39581547</v>
      </c>
      <c r="AE8" s="91">
        <f t="shared" si="2"/>
        <v>0.0718744641</v>
      </c>
      <c r="AF8" s="90">
        <f>AD8*(1-EXP(-0.02876*(C8-B8)))</f>
        <v>0.11286020496704897</v>
      </c>
      <c r="AG8" s="90">
        <f>EXP(-0.02876*(C8-B8))</f>
        <v>0.9528927806084126</v>
      </c>
      <c r="AH8" s="90">
        <f>(AA8-AF8)/AG8</f>
        <v>1.4371034888276084</v>
      </c>
      <c r="AI8" s="90">
        <f>AB8/AG8</f>
        <v>0.0587950458754452</v>
      </c>
      <c r="AJ8" s="90">
        <f>AH8/AD8</f>
        <v>0.5998389720839429</v>
      </c>
      <c r="AK8" s="90">
        <f>AJ8*SQRT(AI8^2/AH8^2+AE8^2/AD8^2)</f>
        <v>0.030431451508215027</v>
      </c>
      <c r="AL8" s="93">
        <f t="shared" si="3"/>
        <v>558.1557815064795</v>
      </c>
      <c r="AM8" s="94">
        <f t="shared" si="4"/>
        <v>47.72435837539036</v>
      </c>
      <c r="AN8" s="87"/>
      <c r="AO8" s="87"/>
      <c r="AP8" s="95"/>
      <c r="AQ8" s="95"/>
      <c r="AR8" s="34"/>
      <c r="AS8" s="34"/>
      <c r="AT8" s="96">
        <v>25</v>
      </c>
      <c r="AU8" s="81"/>
      <c r="AV8" s="81"/>
      <c r="AW8" s="81"/>
    </row>
    <row r="9" spans="1:49" s="72" customFormat="1" ht="16.5">
      <c r="A9" s="97" t="s">
        <v>59</v>
      </c>
      <c r="B9" s="37">
        <v>41122.33888888889</v>
      </c>
      <c r="C9" s="38">
        <v>41124.18576388889</v>
      </c>
      <c r="D9" s="37">
        <v>41126.123611111114</v>
      </c>
      <c r="E9" s="40">
        <v>2587</v>
      </c>
      <c r="F9" s="39">
        <v>700</v>
      </c>
      <c r="G9" s="75">
        <f t="shared" si="0"/>
        <v>3.6957142857142857</v>
      </c>
      <c r="H9" s="75">
        <f t="shared" si="1"/>
        <v>0.07266079986302583</v>
      </c>
      <c r="I9" s="74">
        <v>425</v>
      </c>
      <c r="J9" s="74">
        <v>700</v>
      </c>
      <c r="K9" s="90">
        <f t="shared" si="5"/>
        <v>0.6071428571428571</v>
      </c>
      <c r="L9" s="90">
        <f t="shared" si="6"/>
        <v>0.029450754468697576</v>
      </c>
      <c r="M9" s="90">
        <f>G9-K9</f>
        <v>3.0885714285714285</v>
      </c>
      <c r="N9" s="90">
        <f>SQRT(H9*H9+L9*L9)</f>
        <v>0.07840241562292712</v>
      </c>
      <c r="O9" s="90">
        <f>'Th recovery'!M8</f>
        <v>0.9544077944189461</v>
      </c>
      <c r="P9" s="81">
        <f>'Th recovery'!N8</f>
        <v>0.004544698315588637</v>
      </c>
      <c r="Q9" s="41">
        <v>4</v>
      </c>
      <c r="R9" s="91">
        <f>D9-C9</f>
        <v>1.937847222223354</v>
      </c>
      <c r="S9" s="90">
        <f>M9/EXP(-0.02876*R9)/Q9</f>
        <v>0.8163980701906128</v>
      </c>
      <c r="T9" s="90">
        <f>N9/M9*S9</f>
        <v>0.020724008588801128</v>
      </c>
      <c r="U9" s="90">
        <f>S9/O9</f>
        <v>0.8553975302429764</v>
      </c>
      <c r="V9" s="90">
        <f>SQRT(P9*P9/(O9*O9)+T9*T9/(S9*S9))*U9</f>
        <v>0.022092734247711316</v>
      </c>
      <c r="W9" s="40" t="s">
        <v>80</v>
      </c>
      <c r="Y9" s="85">
        <v>0.457959288169344</v>
      </c>
      <c r="Z9" s="85">
        <v>0.0076879374111948765</v>
      </c>
      <c r="AA9" s="90">
        <f>U9/Y9</f>
        <v>1.867846230747629</v>
      </c>
      <c r="AB9" s="90">
        <f>AA9*SQRT(V9^2/U9^2+Z9^2/Y9^2)</f>
        <v>0.057536734540233544</v>
      </c>
      <c r="AC9" s="86">
        <v>34.0954</v>
      </c>
      <c r="AD9" s="91">
        <f>0.0713*AC9</f>
        <v>2.4310020199999998</v>
      </c>
      <c r="AE9" s="91">
        <f t="shared" si="2"/>
        <v>0.07293006059999999</v>
      </c>
      <c r="AF9" s="90">
        <f>AD9*(1-EXP(-0.02876*(C9-B9)))</f>
        <v>0.12575600616519825</v>
      </c>
      <c r="AG9" s="90">
        <f>EXP(-0.02876*(C9-B9))</f>
        <v>0.9482698882474815</v>
      </c>
      <c r="AH9" s="90">
        <f>(AA9-AF9)/AG9</f>
        <v>1.837124901015286</v>
      </c>
      <c r="AI9" s="90">
        <f>AB9/AG9</f>
        <v>0.06067548411409378</v>
      </c>
      <c r="AJ9" s="90">
        <f>AH9/AD9</f>
        <v>0.7557068591063063</v>
      </c>
      <c r="AK9" s="90">
        <f>AJ9*SQRT(AI9^2/AH9^2+AE9^2/AD9^2)</f>
        <v>0.0337185023696212</v>
      </c>
      <c r="AL9" s="93">
        <f t="shared" si="3"/>
        <v>373.16618891377794</v>
      </c>
      <c r="AM9" s="94">
        <f t="shared" si="4"/>
        <v>48.26950798158412</v>
      </c>
      <c r="AN9" s="87"/>
      <c r="AO9" s="87"/>
      <c r="AP9" s="95"/>
      <c r="AQ9" s="95"/>
      <c r="AR9" s="34"/>
      <c r="AS9" s="34"/>
      <c r="AT9" s="96">
        <v>50</v>
      </c>
      <c r="AU9" s="81"/>
      <c r="AV9" s="81"/>
      <c r="AW9" s="81"/>
    </row>
    <row r="10" spans="1:49" s="72" customFormat="1" ht="16.5">
      <c r="A10" s="97" t="s">
        <v>60</v>
      </c>
      <c r="B10" s="37">
        <v>41122.33888888889</v>
      </c>
      <c r="C10" s="38">
        <v>41124.18576388889</v>
      </c>
      <c r="D10" s="37">
        <v>41126.123611111114</v>
      </c>
      <c r="E10" s="40">
        <v>2816</v>
      </c>
      <c r="F10" s="39">
        <v>700</v>
      </c>
      <c r="G10" s="75">
        <f t="shared" si="0"/>
        <v>4.022857142857143</v>
      </c>
      <c r="H10" s="75">
        <f t="shared" si="1"/>
        <v>0.07580856663669486</v>
      </c>
      <c r="I10" s="74">
        <v>358</v>
      </c>
      <c r="J10" s="74">
        <v>700</v>
      </c>
      <c r="K10" s="90">
        <f t="shared" si="5"/>
        <v>0.5114285714285715</v>
      </c>
      <c r="L10" s="90">
        <f t="shared" si="6"/>
        <v>0.027029839897749288</v>
      </c>
      <c r="M10" s="90">
        <f>G10-K10</f>
        <v>3.5114285714285716</v>
      </c>
      <c r="N10" s="90">
        <f>SQRT(H10*H10+L10*L10)</f>
        <v>0.080483234405733</v>
      </c>
      <c r="O10" s="90">
        <f>'Th recovery'!M9</f>
        <v>0.9852814167903353</v>
      </c>
      <c r="P10" s="81">
        <f>'Th recovery'!N9</f>
        <v>0.003040524440834164</v>
      </c>
      <c r="Q10" s="41">
        <v>4</v>
      </c>
      <c r="R10" s="91">
        <f>D10-C10</f>
        <v>1.937847222223354</v>
      </c>
      <c r="S10" s="90">
        <f>M10/EXP(-0.02876*R10)/Q10</f>
        <v>0.9281713489956182</v>
      </c>
      <c r="T10" s="90">
        <f>N10/M10*S10</f>
        <v>0.02127402871233923</v>
      </c>
      <c r="U10" s="90">
        <f>S10/O10</f>
        <v>0.9420367959635739</v>
      </c>
      <c r="V10" s="90">
        <f>SQRT(P10*P10/(O10*O10)+T10*T10/(S10*S10))*U10</f>
        <v>0.021786651768672997</v>
      </c>
      <c r="W10" s="40" t="s">
        <v>81</v>
      </c>
      <c r="Y10" s="85">
        <v>0.46316685637412525</v>
      </c>
      <c r="Z10" s="85">
        <v>0.007299029586073269</v>
      </c>
      <c r="AA10" s="90">
        <f>U10/Y10</f>
        <v>2.0339037282120187</v>
      </c>
      <c r="AB10" s="90">
        <f>AA10*SQRT(V10^2/U10^2+Z10^2/Y10^2)</f>
        <v>0.05692064997675389</v>
      </c>
      <c r="AC10" s="86">
        <v>34.4329</v>
      </c>
      <c r="AD10" s="91">
        <f>0.0713*AC10</f>
        <v>2.45506577</v>
      </c>
      <c r="AE10" s="91">
        <f t="shared" si="2"/>
        <v>0.0736519731</v>
      </c>
      <c r="AF10" s="90">
        <f>AD10*(1-EXP(-0.02876*(C10-B10)))</f>
        <v>0.12700082664188292</v>
      </c>
      <c r="AG10" s="90">
        <f>EXP(-0.02876*(C10-B10))</f>
        <v>0.9482698882474815</v>
      </c>
      <c r="AH10" s="90">
        <f>(AA10-AF10)/AG10</f>
        <v>2.0109284552885307</v>
      </c>
      <c r="AI10" s="90">
        <f>AB10/AG10</f>
        <v>0.0600257908452099</v>
      </c>
      <c r="AJ10" s="90">
        <f>AH10/AD10</f>
        <v>0.819093516703844</v>
      </c>
      <c r="AK10" s="90">
        <f>AJ10*SQRT(AI10^2/AH10^2+AE10^2/AD10^2)</f>
        <v>0.03466430400478554</v>
      </c>
      <c r="AL10" s="93">
        <f t="shared" si="3"/>
        <v>451.8211816935465</v>
      </c>
      <c r="AM10" s="94">
        <f t="shared" si="4"/>
        <v>47.60805178209745</v>
      </c>
      <c r="AN10" s="87"/>
      <c r="AO10" s="87"/>
      <c r="AP10" s="95"/>
      <c r="AQ10" s="95"/>
      <c r="AR10" s="34"/>
      <c r="AS10" s="34"/>
      <c r="AT10" s="96">
        <v>75</v>
      </c>
      <c r="AU10" s="81"/>
      <c r="AV10" s="81"/>
      <c r="AW10" s="81"/>
    </row>
    <row r="11" spans="1:49" s="133" customFormat="1" ht="16.5">
      <c r="A11" s="137" t="s">
        <v>109</v>
      </c>
      <c r="B11" s="138">
        <v>41122.385416666664</v>
      </c>
      <c r="C11" s="139">
        <v>41124.15729166666</v>
      </c>
      <c r="D11" s="138">
        <v>41126.123611111114</v>
      </c>
      <c r="E11" s="140">
        <v>2307</v>
      </c>
      <c r="F11" s="141">
        <v>700</v>
      </c>
      <c r="G11" s="131">
        <f t="shared" si="0"/>
        <v>3.295714285714286</v>
      </c>
      <c r="H11" s="131">
        <f t="shared" si="1"/>
        <v>0.06861605690584473</v>
      </c>
      <c r="I11" s="132">
        <v>371</v>
      </c>
      <c r="J11" s="132">
        <v>700</v>
      </c>
      <c r="K11" s="136">
        <f t="shared" si="5"/>
        <v>0.53</v>
      </c>
      <c r="L11" s="136">
        <f t="shared" si="6"/>
        <v>0.02751622897751175</v>
      </c>
      <c r="M11" s="136">
        <f>G11-K11</f>
        <v>2.765714285714286</v>
      </c>
      <c r="N11" s="136">
        <f>SQRT(H11*H11+L11*L11)</f>
        <v>0.07392770875963206</v>
      </c>
      <c r="O11" s="136">
        <f>'Th recovery'!M10</f>
        <v>0.9209649436341412</v>
      </c>
      <c r="P11" s="134">
        <f>'Th recovery'!N10</f>
        <v>0.0034062648697319262</v>
      </c>
      <c r="Q11" s="142">
        <v>4.15</v>
      </c>
      <c r="R11" s="143">
        <f>D11-C11</f>
        <v>1.9663194444510737</v>
      </c>
      <c r="S11" s="136">
        <f>M11/EXP(-0.02876*R11)/Q11</f>
        <v>0.7052111240756815</v>
      </c>
      <c r="T11" s="136">
        <f>N11/M11*S11</f>
        <v>0.018850335648917256</v>
      </c>
      <c r="U11" s="136">
        <f>S11/O11</f>
        <v>0.7657306925200736</v>
      </c>
      <c r="V11" s="136">
        <f>SQRT(P11*P11/(O11*O11)+T11*T11/(S11*S11))*U11</f>
        <v>0.020663035515486403</v>
      </c>
      <c r="W11" s="135" t="s">
        <v>108</v>
      </c>
      <c r="Y11" s="131">
        <v>0.45427849699069184</v>
      </c>
      <c r="Z11" s="131">
        <v>0.0071602879945378934</v>
      </c>
      <c r="AA11" s="136">
        <f>U11/Y11</f>
        <v>1.6855974861072138</v>
      </c>
      <c r="AB11" s="136">
        <f>AA11*SQRT(V11^2/U11^2+Z11^2/Y11^2)</f>
        <v>0.05267627843959595</v>
      </c>
      <c r="AC11" s="144">
        <v>34.4725</v>
      </c>
      <c r="AD11" s="143">
        <f>0.0713*AC11</f>
        <v>2.45788925</v>
      </c>
      <c r="AE11" s="143">
        <f t="shared" si="2"/>
        <v>0.0737366775</v>
      </c>
      <c r="AF11" s="136">
        <f>AD11*(1-EXP(-0.02876*(C11-B11)))</f>
        <v>0.12211404833382995</v>
      </c>
      <c r="AG11" s="136">
        <f>EXP(-0.02876*(C11-B11))</f>
        <v>0.950317513966982</v>
      </c>
      <c r="AH11" s="136">
        <f>(AA11-AF11)/AG11</f>
        <v>1.645222165007585</v>
      </c>
      <c r="AI11" s="136">
        <f>AB11/AG11</f>
        <v>0.05543018797970521</v>
      </c>
      <c r="AJ11" s="136">
        <f>AH11/AD11</f>
        <v>0.6693638311846577</v>
      </c>
      <c r="AK11" s="136">
        <f>AJ11*SQRT(AI11^2/AH11^2+AE11^2/AD11^2)</f>
        <v>0.030196580203241466</v>
      </c>
      <c r="AL11" s="145">
        <f t="shared" si="3"/>
        <v>288.64062793881675</v>
      </c>
      <c r="AM11" s="146">
        <f t="shared" si="4"/>
        <v>49.69226058958146</v>
      </c>
      <c r="AN11" s="147"/>
      <c r="AO11" s="147"/>
      <c r="AP11" s="148"/>
      <c r="AQ11" s="148"/>
      <c r="AR11" s="149"/>
      <c r="AS11" s="149"/>
      <c r="AT11" s="150">
        <v>100</v>
      </c>
      <c r="AU11" s="134"/>
      <c r="AV11" s="134"/>
      <c r="AW11" s="134"/>
    </row>
    <row r="12" spans="1:49" s="72" customFormat="1" ht="16.5">
      <c r="A12" s="97" t="s">
        <v>62</v>
      </c>
      <c r="B12" s="37">
        <v>41122.385416666664</v>
      </c>
      <c r="C12" s="38">
        <v>41123.98333333334</v>
      </c>
      <c r="D12" s="37">
        <v>41126.123611111114</v>
      </c>
      <c r="E12" s="40">
        <v>3161</v>
      </c>
      <c r="F12" s="39">
        <v>700</v>
      </c>
      <c r="G12" s="75">
        <f t="shared" si="0"/>
        <v>4.515714285714286</v>
      </c>
      <c r="H12" s="75">
        <f t="shared" si="1"/>
        <v>0.08031824455354626</v>
      </c>
      <c r="I12" s="74">
        <v>453</v>
      </c>
      <c r="J12" s="74">
        <v>700</v>
      </c>
      <c r="K12" s="90">
        <f t="shared" si="5"/>
        <v>0.6471428571428571</v>
      </c>
      <c r="L12" s="90">
        <f t="shared" si="6"/>
        <v>0.030405423791132518</v>
      </c>
      <c r="M12" s="90">
        <f aca="true" t="shared" si="7" ref="M12:M17">G12-K12</f>
        <v>3.8685714285714288</v>
      </c>
      <c r="N12" s="90">
        <f aca="true" t="shared" si="8" ref="N12:N17">SQRT(H12*H12+L12*L12)</f>
        <v>0.08588079065822363</v>
      </c>
      <c r="O12" s="90">
        <f>'Th recovery'!M11</f>
        <v>0.9338583470222194</v>
      </c>
      <c r="P12" s="81">
        <f>'Th recovery'!N11</f>
        <v>0.002830050863647795</v>
      </c>
      <c r="Q12" s="41">
        <v>3.98</v>
      </c>
      <c r="R12" s="91">
        <f aca="true" t="shared" si="9" ref="R12:R17">D12-C12</f>
        <v>2.140277777776646</v>
      </c>
      <c r="S12" s="90">
        <f aca="true" t="shared" si="10" ref="S12:S17">M12/EXP(-0.02876*R12)/Q12</f>
        <v>1.0337137172786113</v>
      </c>
      <c r="T12" s="90">
        <f aca="true" t="shared" si="11" ref="T12:T17">N12/M12*S12</f>
        <v>0.022948045032458272</v>
      </c>
      <c r="U12" s="90">
        <f aca="true" t="shared" si="12" ref="U12:U17">S12/O12</f>
        <v>1.1069277482765982</v>
      </c>
      <c r="V12" s="90">
        <f aca="true" t="shared" si="13" ref="V12:V17">SQRT(P12*P12/(O12*O12)+T12*T12/(S12*S12))*U12</f>
        <v>0.02480127699388553</v>
      </c>
      <c r="W12" s="40" t="s">
        <v>84</v>
      </c>
      <c r="Y12" s="75">
        <v>0.4471968722347576</v>
      </c>
      <c r="Z12" s="75">
        <v>0.0072230719511510895</v>
      </c>
      <c r="AA12" s="90">
        <f aca="true" t="shared" si="14" ref="AA12:AA17">U12/Y12</f>
        <v>2.475258252019957</v>
      </c>
      <c r="AB12" s="90">
        <f aca="true" t="shared" si="15" ref="AB12:AB17">AA12*SQRT(V12^2/U12^2+Z12^2/Y12^2)</f>
        <v>0.06836778360166887</v>
      </c>
      <c r="AC12" s="86">
        <v>34.5852</v>
      </c>
      <c r="AD12" s="91">
        <f aca="true" t="shared" si="16" ref="AD12:AD17">0.0713*AC12</f>
        <v>2.46592476</v>
      </c>
      <c r="AE12" s="91">
        <f t="shared" si="2"/>
        <v>0.0739777428</v>
      </c>
      <c r="AF12" s="90">
        <f aca="true" t="shared" si="17" ref="AF12:AF17">AD12*(1-EXP(-0.02876*(C12-B12)))</f>
        <v>0.11075970986804744</v>
      </c>
      <c r="AG12" s="90">
        <f aca="true" t="shared" si="18" ref="AG12:AG17">EXP(-0.02876*(C12-B12))</f>
        <v>0.9550839053710433</v>
      </c>
      <c r="AH12" s="90">
        <f aca="true" t="shared" si="19" ref="AH12:AH17">(AA12-AF12)/AG12</f>
        <v>2.47569719147693</v>
      </c>
      <c r="AI12" s="90">
        <f aca="true" t="shared" si="20" ref="AI12:AI17">AB12/AG12</f>
        <v>0.07158301298681027</v>
      </c>
      <c r="AJ12" s="90">
        <f aca="true" t="shared" si="21" ref="AJ12:AJ17">AH12/AD12</f>
        <v>1.0039629885045358</v>
      </c>
      <c r="AK12" s="90">
        <f aca="true" t="shared" si="22" ref="AK12:AK17">AJ12*SQRT(AI12^2/AH12^2+AE12^2/AD12^2)</f>
        <v>0.04183088445902351</v>
      </c>
      <c r="AL12" s="93">
        <f t="shared" si="3"/>
        <v>-65.36169588235187</v>
      </c>
      <c r="AM12" s="94">
        <f t="shared" si="4"/>
        <v>52.829977494829485</v>
      </c>
      <c r="AN12" s="87"/>
      <c r="AO12" s="87"/>
      <c r="AP12" s="95"/>
      <c r="AQ12" s="95"/>
      <c r="AR12" s="34"/>
      <c r="AS12" s="34"/>
      <c r="AT12" s="96">
        <v>125</v>
      </c>
      <c r="AU12" s="81"/>
      <c r="AV12" s="81"/>
      <c r="AW12" s="81"/>
    </row>
    <row r="13" spans="1:49" s="72" customFormat="1" ht="16.5">
      <c r="A13" s="97" t="s">
        <v>63</v>
      </c>
      <c r="B13" s="37">
        <v>41122.385416666664</v>
      </c>
      <c r="C13" s="38">
        <v>41124.095138888886</v>
      </c>
      <c r="D13" s="37">
        <v>41126.123611111114</v>
      </c>
      <c r="E13" s="40">
        <v>3255</v>
      </c>
      <c r="F13" s="39">
        <v>700</v>
      </c>
      <c r="G13" s="75">
        <f t="shared" si="0"/>
        <v>4.65</v>
      </c>
      <c r="H13" s="75">
        <f t="shared" si="1"/>
        <v>0.08150372471769092</v>
      </c>
      <c r="I13" s="74">
        <v>401</v>
      </c>
      <c r="J13" s="74">
        <v>700</v>
      </c>
      <c r="K13" s="90">
        <f t="shared" si="5"/>
        <v>0.5728571428571428</v>
      </c>
      <c r="L13" s="90">
        <f t="shared" si="6"/>
        <v>0.028607120563572553</v>
      </c>
      <c r="M13" s="90">
        <f t="shared" si="7"/>
        <v>4.077142857142857</v>
      </c>
      <c r="N13" s="90">
        <f t="shared" si="8"/>
        <v>0.08637837975903413</v>
      </c>
      <c r="O13" s="90">
        <f>'Th recovery'!M12</f>
        <v>0.9196193941544683</v>
      </c>
      <c r="P13" s="81">
        <f>'Th recovery'!N12</f>
        <v>0.0019802061939269717</v>
      </c>
      <c r="Q13" s="41">
        <v>3.98</v>
      </c>
      <c r="R13" s="91">
        <f t="shared" si="9"/>
        <v>2.0284722222277196</v>
      </c>
      <c r="S13" s="90">
        <f t="shared" si="10"/>
        <v>1.0859481808963882</v>
      </c>
      <c r="T13" s="90">
        <f t="shared" si="11"/>
        <v>0.023006906467298655</v>
      </c>
      <c r="U13" s="90">
        <f t="shared" si="12"/>
        <v>1.180866984536411</v>
      </c>
      <c r="V13" s="90">
        <f t="shared" si="13"/>
        <v>0.025146743988017195</v>
      </c>
      <c r="W13" s="40" t="s">
        <v>85</v>
      </c>
      <c r="Y13" s="75">
        <v>0.449145751849492</v>
      </c>
      <c r="Z13" s="75">
        <v>0.007399333027411381</v>
      </c>
      <c r="AA13" s="90">
        <f t="shared" si="14"/>
        <v>2.6291398274921622</v>
      </c>
      <c r="AB13" s="90">
        <f t="shared" si="15"/>
        <v>0.07078609369279552</v>
      </c>
      <c r="AC13" s="86">
        <v>34.5772</v>
      </c>
      <c r="AD13" s="91">
        <f t="shared" si="16"/>
        <v>2.46535436</v>
      </c>
      <c r="AE13" s="91">
        <f t="shared" si="2"/>
        <v>0.0739606308</v>
      </c>
      <c r="AF13" s="90">
        <f t="shared" si="17"/>
        <v>0.11829327671128231</v>
      </c>
      <c r="AG13" s="90">
        <f t="shared" si="18"/>
        <v>0.95201773885711</v>
      </c>
      <c r="AH13" s="90">
        <f t="shared" si="19"/>
        <v>2.637394712618624</v>
      </c>
      <c r="AI13" s="90">
        <f t="shared" si="20"/>
        <v>0.07435375498126083</v>
      </c>
      <c r="AJ13" s="90">
        <f t="shared" si="21"/>
        <v>1.069783214701283</v>
      </c>
      <c r="AK13" s="90">
        <f t="shared" si="22"/>
        <v>0.04404072559950957</v>
      </c>
      <c r="AL13" s="93">
        <f>0.02876*((AD13+AD14)/2-(AH13+AH14)/2)*1000*50</f>
        <v>-280.4887139107888</v>
      </c>
      <c r="AM13" s="94">
        <f>0.02876*SQRT(AE13^2+AE14^2+AI13^2+AI14^2)/2*1000*50</f>
        <v>107.32971437673345</v>
      </c>
      <c r="AN13" s="87"/>
      <c r="AO13" s="87"/>
      <c r="AP13" s="95"/>
      <c r="AQ13" s="95"/>
      <c r="AR13" s="34"/>
      <c r="AS13" s="34"/>
      <c r="AT13" s="96">
        <v>150</v>
      </c>
      <c r="AU13" s="81"/>
      <c r="AV13" s="81"/>
      <c r="AW13" s="81"/>
    </row>
    <row r="14" spans="1:49" s="72" customFormat="1" ht="16.5">
      <c r="A14" s="97" t="s">
        <v>64</v>
      </c>
      <c r="B14" s="37">
        <v>41122.444444444445</v>
      </c>
      <c r="C14" s="38">
        <v>41124.07430555555</v>
      </c>
      <c r="D14" s="37">
        <v>41126.123611111114</v>
      </c>
      <c r="E14" s="40">
        <v>3211</v>
      </c>
      <c r="F14" s="39">
        <v>700</v>
      </c>
      <c r="G14" s="75">
        <f t="shared" si="0"/>
        <v>4.587142857142857</v>
      </c>
      <c r="H14" s="75">
        <f t="shared" si="1"/>
        <v>0.08095098038004109</v>
      </c>
      <c r="I14" s="74">
        <v>395</v>
      </c>
      <c r="J14" s="74">
        <v>700</v>
      </c>
      <c r="K14" s="90">
        <f t="shared" si="5"/>
        <v>0.5642857142857143</v>
      </c>
      <c r="L14" s="90">
        <f t="shared" si="6"/>
        <v>0.02839229559193113</v>
      </c>
      <c r="M14" s="90">
        <f t="shared" si="7"/>
        <v>4.022857142857143</v>
      </c>
      <c r="N14" s="90">
        <f t="shared" si="8"/>
        <v>0.08578568454858532</v>
      </c>
      <c r="O14" s="90">
        <f>'Th recovery'!M13</f>
        <v>0.881045938175277</v>
      </c>
      <c r="P14" s="81">
        <f>'Th recovery'!N13</f>
        <v>0.00272620870306537</v>
      </c>
      <c r="Q14" s="41">
        <v>4</v>
      </c>
      <c r="R14" s="91">
        <f t="shared" si="9"/>
        <v>2.0493055555634783</v>
      </c>
      <c r="S14" s="90">
        <f t="shared" si="10"/>
        <v>1.066770701345129</v>
      </c>
      <c r="T14" s="90">
        <f t="shared" si="11"/>
        <v>0.022748422730783542</v>
      </c>
      <c r="U14" s="90">
        <f t="shared" si="12"/>
        <v>1.21080031712592</v>
      </c>
      <c r="V14" s="90">
        <f t="shared" si="13"/>
        <v>0.026090197151816156</v>
      </c>
      <c r="W14" s="40" t="s">
        <v>86</v>
      </c>
      <c r="Y14" s="75">
        <v>0.4537788103824521</v>
      </c>
      <c r="Z14" s="75">
        <v>0.007623468238859981</v>
      </c>
      <c r="AA14" s="90">
        <f t="shared" si="14"/>
        <v>2.668261032518107</v>
      </c>
      <c r="AB14" s="90">
        <f t="shared" si="15"/>
        <v>0.07290510361815955</v>
      </c>
      <c r="AC14" s="86">
        <v>34.5046</v>
      </c>
      <c r="AD14" s="91">
        <f t="shared" si="16"/>
        <v>2.4601779800000005</v>
      </c>
      <c r="AE14" s="91">
        <f t="shared" si="2"/>
        <v>0.07380533940000002</v>
      </c>
      <c r="AF14" s="90">
        <f t="shared" si="17"/>
        <v>0.11265929555106174</v>
      </c>
      <c r="AG14" s="90">
        <f t="shared" si="18"/>
        <v>0.9542068515095555</v>
      </c>
      <c r="AH14" s="90">
        <f t="shared" si="19"/>
        <v>2.6782471043087592</v>
      </c>
      <c r="AI14" s="90">
        <f t="shared" si="20"/>
        <v>0.07640387773659732</v>
      </c>
      <c r="AJ14" s="90">
        <f t="shared" si="21"/>
        <v>1.0886395724543305</v>
      </c>
      <c r="AK14" s="90">
        <f t="shared" si="22"/>
        <v>0.04506786602937559</v>
      </c>
      <c r="AL14" s="93">
        <f>0.02876*((AD14+AD15)/2-(AH14+AH15)/2)*1000*50</f>
        <v>-77.30387191927299</v>
      </c>
      <c r="AM14" s="94">
        <f>0.02876*SQRT(AE14^2+AE15^2+AI14^2+AI15^2)/2*1000*50</f>
        <v>105.10984224649864</v>
      </c>
      <c r="AN14" s="87"/>
      <c r="AO14" s="87"/>
      <c r="AP14" s="95"/>
      <c r="AQ14" s="95"/>
      <c r="AR14" s="34"/>
      <c r="AS14" s="34"/>
      <c r="AT14" s="96">
        <v>200</v>
      </c>
      <c r="AU14" s="81"/>
      <c r="AV14" s="81"/>
      <c r="AW14" s="81"/>
    </row>
    <row r="15" spans="1:49" s="72" customFormat="1" ht="16.5">
      <c r="A15" s="97" t="s">
        <v>65</v>
      </c>
      <c r="B15" s="37">
        <v>41122.4125</v>
      </c>
      <c r="C15" s="38">
        <v>41124.056597222225</v>
      </c>
      <c r="D15" s="37">
        <v>41126.123611111114</v>
      </c>
      <c r="E15" s="40">
        <v>2900</v>
      </c>
      <c r="F15" s="39">
        <v>700</v>
      </c>
      <c r="G15" s="75">
        <f t="shared" si="0"/>
        <v>4.142857142857143</v>
      </c>
      <c r="H15" s="75">
        <f t="shared" si="1"/>
        <v>0.0769309258162072</v>
      </c>
      <c r="I15" s="74">
        <v>367</v>
      </c>
      <c r="J15" s="74">
        <v>700</v>
      </c>
      <c r="K15" s="90">
        <f t="shared" si="5"/>
        <v>0.5242857142857142</v>
      </c>
      <c r="L15" s="90">
        <f t="shared" si="6"/>
        <v>0.027367491515240025</v>
      </c>
      <c r="M15" s="90">
        <f t="shared" si="7"/>
        <v>3.618571428571429</v>
      </c>
      <c r="N15" s="90">
        <f t="shared" si="8"/>
        <v>0.08165382378538992</v>
      </c>
      <c r="O15" s="90">
        <f>'Th recovery'!M14</f>
        <v>0.8917667131497008</v>
      </c>
      <c r="P15" s="81">
        <f>'Th recovery'!N14</f>
        <v>0.002294115546007096</v>
      </c>
      <c r="Q15" s="41">
        <v>4</v>
      </c>
      <c r="R15" s="91">
        <f t="shared" si="9"/>
        <v>2.0670138888890506</v>
      </c>
      <c r="S15" s="90">
        <f t="shared" si="10"/>
        <v>0.960052098504584</v>
      </c>
      <c r="T15" s="90">
        <f t="shared" si="11"/>
        <v>0.021663777107485578</v>
      </c>
      <c r="U15" s="90">
        <f t="shared" si="12"/>
        <v>1.0765731489502457</v>
      </c>
      <c r="V15" s="90">
        <f t="shared" si="13"/>
        <v>0.024450460357894572</v>
      </c>
      <c r="W15" s="40" t="s">
        <v>87</v>
      </c>
      <c r="Y15" s="75">
        <v>0.45768373642418503</v>
      </c>
      <c r="Z15" s="75">
        <v>0.007219647777148003</v>
      </c>
      <c r="AA15" s="90">
        <f t="shared" si="14"/>
        <v>2.3522206783254997</v>
      </c>
      <c r="AB15" s="90">
        <f t="shared" si="15"/>
        <v>0.06504371894514033</v>
      </c>
      <c r="AC15" s="86">
        <v>34.4694</v>
      </c>
      <c r="AD15" s="91">
        <f t="shared" si="16"/>
        <v>2.45766822</v>
      </c>
      <c r="AE15" s="91">
        <f t="shared" si="2"/>
        <v>0.0737300466</v>
      </c>
      <c r="AF15" s="90">
        <f t="shared" si="17"/>
        <v>0.1135043345681833</v>
      </c>
      <c r="AG15" s="90">
        <f t="shared" si="18"/>
        <v>0.9538162500354977</v>
      </c>
      <c r="AH15" s="90">
        <f t="shared" si="19"/>
        <v>2.3471149119906474</v>
      </c>
      <c r="AI15" s="90">
        <f t="shared" si="20"/>
        <v>0.0681931335754865</v>
      </c>
      <c r="AJ15" s="90">
        <f t="shared" si="21"/>
        <v>0.9550169924851156</v>
      </c>
      <c r="AK15" s="90">
        <f t="shared" si="22"/>
        <v>0.039884239238140745</v>
      </c>
      <c r="AL15" s="93">
        <f>0.02876*((AD15+AD16)/2-(AH15+AH16)/2)*1000*50</f>
        <v>388.67560351963664</v>
      </c>
      <c r="AM15" s="94">
        <f>0.02876*SQRT(AE15^2+AE16^2+AI15^2+AI16^2)/2*1000*50</f>
        <v>101.7783389127171</v>
      </c>
      <c r="AN15" s="87"/>
      <c r="AO15" s="87"/>
      <c r="AP15" s="95"/>
      <c r="AQ15" s="95"/>
      <c r="AR15" s="34"/>
      <c r="AS15" s="34"/>
      <c r="AT15" s="96">
        <v>250</v>
      </c>
      <c r="AU15" s="81"/>
      <c r="AV15" s="81"/>
      <c r="AW15" s="81"/>
    </row>
    <row r="16" spans="1:49" s="72" customFormat="1" ht="16.5">
      <c r="A16" s="97" t="s">
        <v>66</v>
      </c>
      <c r="B16" s="37">
        <v>41122.4125</v>
      </c>
      <c r="C16" s="38">
        <v>41123.835069444445</v>
      </c>
      <c r="D16" s="37">
        <v>41126.123611111114</v>
      </c>
      <c r="E16" s="40">
        <v>2825</v>
      </c>
      <c r="F16" s="39">
        <v>700</v>
      </c>
      <c r="G16" s="75">
        <f t="shared" si="0"/>
        <v>4.035714285714286</v>
      </c>
      <c r="H16" s="75">
        <f t="shared" si="1"/>
        <v>0.07592961294810464</v>
      </c>
      <c r="I16" s="74">
        <v>647</v>
      </c>
      <c r="J16" s="74">
        <v>700</v>
      </c>
      <c r="K16" s="90">
        <f t="shared" si="5"/>
        <v>0.9242857142857143</v>
      </c>
      <c r="L16" s="90">
        <f t="shared" si="6"/>
        <v>0.036337420977076866</v>
      </c>
      <c r="M16" s="90">
        <f t="shared" si="7"/>
        <v>3.111428571428571</v>
      </c>
      <c r="N16" s="90">
        <f t="shared" si="8"/>
        <v>0.0841766849294642</v>
      </c>
      <c r="O16" s="90">
        <f>'Th recovery'!M15</f>
        <v>0.9162109000975197</v>
      </c>
      <c r="P16" s="81">
        <f>'Th recovery'!N15</f>
        <v>0.003988418519423449</v>
      </c>
      <c r="Q16" s="41">
        <v>3.96</v>
      </c>
      <c r="R16" s="91">
        <f t="shared" si="9"/>
        <v>2.288541666668607</v>
      </c>
      <c r="S16" s="90">
        <f t="shared" si="10"/>
        <v>0.839168634157347</v>
      </c>
      <c r="T16" s="90">
        <f t="shared" si="11"/>
        <v>0.022702894216761374</v>
      </c>
      <c r="U16" s="90">
        <f t="shared" si="12"/>
        <v>0.9159120831983417</v>
      </c>
      <c r="V16" s="90">
        <f t="shared" si="13"/>
        <v>0.025097840376925903</v>
      </c>
      <c r="W16" s="40" t="s">
        <v>88</v>
      </c>
      <c r="Y16" s="75">
        <v>0.44844717123323635</v>
      </c>
      <c r="Z16" s="75">
        <v>0.007075747226624152</v>
      </c>
      <c r="AA16" s="90">
        <f t="shared" si="14"/>
        <v>2.042407984600661</v>
      </c>
      <c r="AB16" s="90">
        <f t="shared" si="15"/>
        <v>0.06458100283724057</v>
      </c>
      <c r="AC16" s="86">
        <v>34.4347</v>
      </c>
      <c r="AD16" s="91">
        <f t="shared" si="16"/>
        <v>2.45519411</v>
      </c>
      <c r="AE16" s="91">
        <f t="shared" si="2"/>
        <v>0.07365582329999999</v>
      </c>
      <c r="AF16" s="90">
        <f t="shared" si="17"/>
        <v>0.09842248244389169</v>
      </c>
      <c r="AG16" s="90">
        <f t="shared" si="18"/>
        <v>0.9599125453897852</v>
      </c>
      <c r="AH16" s="90">
        <f t="shared" si="19"/>
        <v>2.0251693880793984</v>
      </c>
      <c r="AI16" s="90">
        <f t="shared" si="20"/>
        <v>0.0672780068844882</v>
      </c>
      <c r="AJ16" s="90">
        <f t="shared" si="21"/>
        <v>0.8248510290208372</v>
      </c>
      <c r="AK16" s="90">
        <f t="shared" si="22"/>
        <v>0.036921921209362454</v>
      </c>
      <c r="AL16" s="93">
        <f>0.02876*((AD16+AD17)/2-(AH16+AH17)/2)*1000*80</f>
        <v>796.245599973421</v>
      </c>
      <c r="AM16" s="94">
        <f>0.02876*SQRT(AE16^2+AE17^2+AI16^2+AI17^2)/2*1000*80</f>
        <v>162.707950043447</v>
      </c>
      <c r="AN16" s="87"/>
      <c r="AO16" s="87"/>
      <c r="AP16" s="95"/>
      <c r="AQ16" s="95"/>
      <c r="AR16" s="34"/>
      <c r="AS16" s="34"/>
      <c r="AT16" s="96">
        <v>300</v>
      </c>
      <c r="AU16" s="81"/>
      <c r="AV16" s="81"/>
      <c r="AW16" s="81"/>
    </row>
    <row r="17" spans="1:49" s="72" customFormat="1" ht="16.5">
      <c r="A17" s="97" t="s">
        <v>67</v>
      </c>
      <c r="B17" s="37">
        <v>41122.4125</v>
      </c>
      <c r="C17" s="38">
        <v>41123.70208333334</v>
      </c>
      <c r="D17" s="37">
        <v>41128.13298611111</v>
      </c>
      <c r="E17" s="40">
        <v>2547</v>
      </c>
      <c r="F17" s="39">
        <v>700</v>
      </c>
      <c r="G17" s="75">
        <f t="shared" si="0"/>
        <v>3.638571428571429</v>
      </c>
      <c r="H17" s="75">
        <f t="shared" si="1"/>
        <v>0.0720968736054031</v>
      </c>
      <c r="I17" s="74">
        <v>359</v>
      </c>
      <c r="J17" s="74">
        <v>700</v>
      </c>
      <c r="K17" s="90">
        <f t="shared" si="5"/>
        <v>0.5128571428571429</v>
      </c>
      <c r="L17" s="90">
        <f t="shared" si="6"/>
        <v>0.02706756474499488</v>
      </c>
      <c r="M17" s="90">
        <f t="shared" si="7"/>
        <v>3.125714285714286</v>
      </c>
      <c r="N17" s="90">
        <f t="shared" si="8"/>
        <v>0.07701046841110602</v>
      </c>
      <c r="O17" s="90">
        <f>'Th recovery'!M16</f>
        <v>0.8875260980662774</v>
      </c>
      <c r="P17" s="81">
        <f>'Th recovery'!N16</f>
        <v>0.0027255131061527742</v>
      </c>
      <c r="Q17" s="41">
        <v>4</v>
      </c>
      <c r="R17" s="91">
        <f t="shared" si="9"/>
        <v>4.430902777770825</v>
      </c>
      <c r="S17" s="90">
        <f t="shared" si="10"/>
        <v>0.8876313498675221</v>
      </c>
      <c r="T17" s="90">
        <f t="shared" si="11"/>
        <v>0.02186921125263992</v>
      </c>
      <c r="U17" s="90">
        <f t="shared" si="12"/>
        <v>1.0001185900915748</v>
      </c>
      <c r="V17" s="90">
        <f t="shared" si="13"/>
        <v>0.02483130840280105</v>
      </c>
      <c r="W17" s="40" t="s">
        <v>79</v>
      </c>
      <c r="Y17" s="85">
        <v>0.45427419422797033</v>
      </c>
      <c r="Z17" s="85">
        <v>0.007476846219301492</v>
      </c>
      <c r="AA17" s="90">
        <f t="shared" si="14"/>
        <v>2.201574737898673</v>
      </c>
      <c r="AB17" s="90">
        <f t="shared" si="15"/>
        <v>0.0655811577282321</v>
      </c>
      <c r="AC17" s="86">
        <v>34.4201</v>
      </c>
      <c r="AD17" s="91">
        <f t="shared" si="16"/>
        <v>2.45415313</v>
      </c>
      <c r="AE17" s="91">
        <f t="shared" si="2"/>
        <v>0.0736245939</v>
      </c>
      <c r="AF17" s="90">
        <f t="shared" si="17"/>
        <v>0.0893534230782915</v>
      </c>
      <c r="AG17" s="90">
        <f t="shared" si="18"/>
        <v>0.9635909340839333</v>
      </c>
      <c r="AH17" s="90">
        <f t="shared" si="19"/>
        <v>2.192031120372078</v>
      </c>
      <c r="AI17" s="90">
        <f t="shared" si="20"/>
        <v>0.06805912696820753</v>
      </c>
      <c r="AJ17" s="90">
        <f t="shared" si="21"/>
        <v>0.8931924799542066</v>
      </c>
      <c r="AK17" s="90">
        <f t="shared" si="22"/>
        <v>0.03856280375179362</v>
      </c>
      <c r="AL17" s="93"/>
      <c r="AM17" s="94"/>
      <c r="AN17" s="87"/>
      <c r="AO17" s="87"/>
      <c r="AP17" s="95"/>
      <c r="AQ17" s="95"/>
      <c r="AR17" s="34"/>
      <c r="AS17" s="34"/>
      <c r="AT17" s="96">
        <v>380</v>
      </c>
      <c r="AU17" s="81"/>
      <c r="AV17" s="81"/>
      <c r="AW17" s="81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0" sqref="H20"/>
    </sheetView>
  </sheetViews>
  <sheetFormatPr defaultColWidth="9.00390625" defaultRowHeight="14.25"/>
  <cols>
    <col min="1" max="1" width="14.625" style="1" customWidth="1"/>
    <col min="2" max="2" width="12.875" style="1" customWidth="1"/>
    <col min="3" max="3" width="9.00390625" style="1" customWidth="1"/>
    <col min="4" max="4" width="12.50390625" style="6" customWidth="1"/>
    <col min="5" max="5" width="9.375" style="1" bestFit="1" customWidth="1"/>
    <col min="6" max="6" width="11.625" style="2" customWidth="1"/>
    <col min="7" max="7" width="13.625" style="1" customWidth="1"/>
    <col min="8" max="8" width="10.25390625" style="6" bestFit="1" customWidth="1"/>
    <col min="9" max="9" width="12.125" style="9" customWidth="1"/>
    <col min="10" max="10" width="9.00390625" style="9" customWidth="1"/>
    <col min="11" max="11" width="12.75390625" style="1" customWidth="1"/>
    <col min="12" max="12" width="8.00390625" style="1" customWidth="1"/>
    <col min="13" max="13" width="12.50390625" style="10" customWidth="1"/>
    <col min="14" max="14" width="9.375" style="10" bestFit="1" customWidth="1"/>
    <col min="15" max="16384" width="9.00390625" style="1" customWidth="1"/>
  </cols>
  <sheetData>
    <row r="1" spans="1:10" s="12" customFormat="1" ht="15">
      <c r="A1" s="12" t="s">
        <v>56</v>
      </c>
      <c r="D1" s="13"/>
      <c r="F1" s="14"/>
      <c r="G1" s="13"/>
      <c r="H1" s="13"/>
      <c r="I1" s="15"/>
      <c r="J1" s="15"/>
    </row>
    <row r="2" s="111" customFormat="1" ht="15.75" customHeight="1">
      <c r="A2" s="111" t="s">
        <v>135</v>
      </c>
    </row>
    <row r="3" s="60" customFormat="1" ht="15.75" customHeight="1">
      <c r="A3" s="60" t="s">
        <v>136</v>
      </c>
    </row>
    <row r="4" ht="15.75" customHeight="1"/>
    <row r="5" spans="1:14" ht="18">
      <c r="A5" s="3" t="s">
        <v>0</v>
      </c>
      <c r="B5" s="152" t="s">
        <v>29</v>
      </c>
      <c r="C5" s="1" t="s">
        <v>22</v>
      </c>
      <c r="D5" s="5" t="s">
        <v>29</v>
      </c>
      <c r="E5" s="1" t="s">
        <v>22</v>
      </c>
      <c r="F5" s="7" t="s">
        <v>30</v>
      </c>
      <c r="G5" s="7" t="s">
        <v>30</v>
      </c>
      <c r="H5" s="6" t="s">
        <v>20</v>
      </c>
      <c r="I5" s="8" t="s">
        <v>31</v>
      </c>
      <c r="J5" s="9" t="s">
        <v>4</v>
      </c>
      <c r="K5" s="5" t="s">
        <v>33</v>
      </c>
      <c r="L5" s="1" t="s">
        <v>20</v>
      </c>
      <c r="M5" s="11" t="s">
        <v>34</v>
      </c>
      <c r="N5" s="10" t="s">
        <v>32</v>
      </c>
    </row>
    <row r="6" spans="1:14" ht="15">
      <c r="A6" s="35" t="s">
        <v>57</v>
      </c>
      <c r="B6" s="2">
        <v>0.21481</v>
      </c>
      <c r="C6" s="2">
        <v>0.00022687812633774955</v>
      </c>
      <c r="D6" s="6">
        <f aca="true" t="shared" si="0" ref="D6:D11">14.1378*77000*365*1440*B6/0.693</f>
        <v>177357343771.20004</v>
      </c>
      <c r="E6" s="6">
        <f>C6/B6*D6</f>
        <v>187321362.35300967</v>
      </c>
      <c r="F6" s="2">
        <v>0.4177</v>
      </c>
      <c r="G6" s="1">
        <f>F6*'weight cali'!$N$17</f>
        <v>116237644754.07756</v>
      </c>
      <c r="H6" s="6">
        <f>F6*'weight cali'!$O$17</f>
        <v>104820945.0391535</v>
      </c>
      <c r="I6" s="10">
        <v>0.6255116106389341</v>
      </c>
      <c r="J6" s="10">
        <v>0.023913493639781992</v>
      </c>
      <c r="K6" s="1">
        <f>G6*I6</f>
        <v>72707996386.99931</v>
      </c>
      <c r="L6" s="116">
        <f>K6*SQRT(J6^2/I6^2+H6^2/G6^2)</f>
        <v>2780421369.3134227</v>
      </c>
      <c r="M6" s="60">
        <f>K6/D6</f>
        <v>0.40995199206860194</v>
      </c>
      <c r="N6" s="10">
        <f>M6*SQRT(L6^2/K6^2+E6^2/D6^2)</f>
        <v>0.015682923424309783</v>
      </c>
    </row>
    <row r="7" spans="1:14" ht="15">
      <c r="A7" s="36" t="s">
        <v>58</v>
      </c>
      <c r="B7" s="2">
        <v>0.21481</v>
      </c>
      <c r="C7" s="2">
        <v>0.00022687812633774955</v>
      </c>
      <c r="D7" s="6">
        <f t="shared" si="0"/>
        <v>177357343771.20004</v>
      </c>
      <c r="E7" s="6">
        <f aca="true" t="shared" si="1" ref="E7:E16">C7/B7*D7</f>
        <v>187321362.35300967</v>
      </c>
      <c r="F7" s="2">
        <v>0.4203</v>
      </c>
      <c r="G7" s="1">
        <f>F7*'weight cali'!$N$17</f>
        <v>116961173306.53291</v>
      </c>
      <c r="H7" s="6">
        <f>F7*'weight cali'!$O$17</f>
        <v>105473409.62402734</v>
      </c>
      <c r="I7" s="10">
        <v>1.1430800678877489</v>
      </c>
      <c r="J7" s="10">
        <v>0.00573335709652852</v>
      </c>
      <c r="K7" s="1">
        <f aca="true" t="shared" si="2" ref="K7:K16">G7*I7</f>
        <v>133695985923.4624</v>
      </c>
      <c r="L7" s="116">
        <f aca="true" t="shared" si="3" ref="L7:L16">K7*SQRT(J7^2/I7^2+H7^2/G7^2)</f>
        <v>681332209.4761558</v>
      </c>
      <c r="M7" s="60">
        <f>K7/D7</f>
        <v>0.7538226671681382</v>
      </c>
      <c r="N7" s="10">
        <f aca="true" t="shared" si="4" ref="N7:N16">M7*SQRT(L7^2/K7^2+E7^2/D7^2)</f>
        <v>0.00392321534777696</v>
      </c>
    </row>
    <row r="8" spans="1:14" ht="15">
      <c r="A8" s="36" t="s">
        <v>59</v>
      </c>
      <c r="B8" s="2">
        <v>0.21481</v>
      </c>
      <c r="C8" s="2">
        <v>0.00022687812633774955</v>
      </c>
      <c r="D8" s="6">
        <f t="shared" si="0"/>
        <v>177357343771.20004</v>
      </c>
      <c r="E8" s="6">
        <f t="shared" si="1"/>
        <v>187321362.35300967</v>
      </c>
      <c r="F8" s="2">
        <v>0.4228</v>
      </c>
      <c r="G8" s="1">
        <f>F8*'weight cali'!$N$17</f>
        <v>117656873837.73999</v>
      </c>
      <c r="H8" s="6">
        <f>F8*'weight cali'!$O$17</f>
        <v>106100779.41717525</v>
      </c>
      <c r="I8" s="10">
        <v>1.4386854398844129</v>
      </c>
      <c r="J8" s="10">
        <v>0.0065528931961014655</v>
      </c>
      <c r="K8" s="1">
        <f t="shared" si="2"/>
        <v>169271231292.67383</v>
      </c>
      <c r="L8" s="116">
        <f t="shared" si="3"/>
        <v>785958515.7593182</v>
      </c>
      <c r="M8" s="10">
        <f>K8/D8</f>
        <v>0.9544077944189461</v>
      </c>
      <c r="N8" s="10">
        <f t="shared" si="4"/>
        <v>0.004544698315588637</v>
      </c>
    </row>
    <row r="9" spans="1:14" ht="15">
      <c r="A9" s="36" t="s">
        <v>60</v>
      </c>
      <c r="B9" s="2">
        <v>0.21481</v>
      </c>
      <c r="C9" s="2">
        <v>0.00022687812633774955</v>
      </c>
      <c r="D9" s="6">
        <f t="shared" si="0"/>
        <v>177357343771.20004</v>
      </c>
      <c r="E9" s="6">
        <f t="shared" si="1"/>
        <v>187321362.35300967</v>
      </c>
      <c r="F9" s="2">
        <v>0.4296</v>
      </c>
      <c r="G9" s="1">
        <f>F9*'weight cali'!$N$17</f>
        <v>119549179282.62321</v>
      </c>
      <c r="H9" s="6">
        <f>F9*'weight cali'!$O$17</f>
        <v>107807225.25453757</v>
      </c>
      <c r="I9" s="10">
        <v>1.4617155550348346</v>
      </c>
      <c r="J9" s="10">
        <v>0.004028168454077103</v>
      </c>
      <c r="K9" s="1">
        <f t="shared" si="2"/>
        <v>174746894949.05853</v>
      </c>
      <c r="L9" s="116">
        <f t="shared" si="3"/>
        <v>506691887.72513145</v>
      </c>
      <c r="M9" s="10">
        <f aca="true" t="shared" si="5" ref="M9:M16">K9/D9</f>
        <v>0.9852814167903353</v>
      </c>
      <c r="N9" s="10">
        <f t="shared" si="4"/>
        <v>0.003040524440834164</v>
      </c>
    </row>
    <row r="10" spans="1:14" ht="15">
      <c r="A10" s="36" t="s">
        <v>61</v>
      </c>
      <c r="B10" s="2">
        <v>0.21481</v>
      </c>
      <c r="C10" s="2">
        <v>0.00022687812633774955</v>
      </c>
      <c r="D10" s="6">
        <f t="shared" si="0"/>
        <v>177357343771.20004</v>
      </c>
      <c r="E10" s="6">
        <f t="shared" si="1"/>
        <v>187321362.35300967</v>
      </c>
      <c r="F10" s="2">
        <v>0.4216</v>
      </c>
      <c r="G10" s="1">
        <f>F10*'weight cali'!$N$17</f>
        <v>117322937582.76059</v>
      </c>
      <c r="H10" s="6">
        <f>F10*'weight cali'!$O$17</f>
        <v>105799641.91646424</v>
      </c>
      <c r="I10" s="10">
        <v>1.3922247386119435</v>
      </c>
      <c r="J10" s="10">
        <v>0.004772465586884089</v>
      </c>
      <c r="K10" s="1">
        <f t="shared" si="2"/>
        <v>163339896109.34424</v>
      </c>
      <c r="L10" s="116">
        <f t="shared" si="3"/>
        <v>578970138.2494656</v>
      </c>
      <c r="M10" s="10">
        <f t="shared" si="5"/>
        <v>0.9209649436341412</v>
      </c>
      <c r="N10" s="10">
        <f t="shared" si="4"/>
        <v>0.0034062648697319262</v>
      </c>
    </row>
    <row r="11" spans="1:14" ht="15">
      <c r="A11" s="36" t="s">
        <v>62</v>
      </c>
      <c r="B11" s="2">
        <v>0.21481</v>
      </c>
      <c r="C11" s="2">
        <v>0.00022687812633774955</v>
      </c>
      <c r="D11" s="6">
        <f t="shared" si="0"/>
        <v>177357343771.20004</v>
      </c>
      <c r="E11" s="6">
        <f t="shared" si="1"/>
        <v>187321362.35300967</v>
      </c>
      <c r="F11" s="2">
        <v>0.4219</v>
      </c>
      <c r="G11" s="1">
        <f>F11*'weight cali'!$N$17</f>
        <v>117406421646.50545</v>
      </c>
      <c r="H11" s="6">
        <f>F11*'weight cali'!$O$17</f>
        <v>105874926.291642</v>
      </c>
      <c r="I11" s="10">
        <v>1.4107118977282465</v>
      </c>
      <c r="J11" s="10">
        <v>0.0037998092275625013</v>
      </c>
      <c r="K11" s="1">
        <f t="shared" si="2"/>
        <v>165626635886.42438</v>
      </c>
      <c r="L11" s="116">
        <f t="shared" si="3"/>
        <v>470460369.29577136</v>
      </c>
      <c r="M11" s="10">
        <f t="shared" si="5"/>
        <v>0.9338583470222194</v>
      </c>
      <c r="N11" s="10">
        <f t="shared" si="4"/>
        <v>0.002830050863647795</v>
      </c>
    </row>
    <row r="12" spans="1:14" ht="15">
      <c r="A12" s="36" t="s">
        <v>63</v>
      </c>
      <c r="B12" s="2">
        <v>0.21481</v>
      </c>
      <c r="C12" s="2">
        <v>0.00022687812633774955</v>
      </c>
      <c r="D12" s="6">
        <f>14.1378*77000*365*1440*B12/0.693</f>
        <v>177357343771.20004</v>
      </c>
      <c r="E12" s="6">
        <f t="shared" si="1"/>
        <v>187321362.35300967</v>
      </c>
      <c r="F12" s="2">
        <v>0.449</v>
      </c>
      <c r="G12" s="1">
        <f>F12*'weight cali'!$N$17</f>
        <v>124947815404.7901</v>
      </c>
      <c r="H12" s="6">
        <f>F12*'weight cali'!$O$17</f>
        <v>112675614.84936538</v>
      </c>
      <c r="I12" s="10">
        <v>1.3053549795914556</v>
      </c>
      <c r="J12" s="10">
        <v>0.0021480630746812607</v>
      </c>
      <c r="K12" s="1">
        <f t="shared" si="2"/>
        <v>163101253027.71674</v>
      </c>
      <c r="L12" s="116">
        <f t="shared" si="3"/>
        <v>306054436.98829085</v>
      </c>
      <c r="M12" s="10">
        <f t="shared" si="5"/>
        <v>0.9196193941544683</v>
      </c>
      <c r="N12" s="10">
        <f t="shared" si="4"/>
        <v>0.0019802061939269717</v>
      </c>
    </row>
    <row r="13" spans="1:14" ht="15">
      <c r="A13" s="36" t="s">
        <v>64</v>
      </c>
      <c r="B13" s="2">
        <v>0.21481</v>
      </c>
      <c r="C13" s="2">
        <v>0.00022687812633774955</v>
      </c>
      <c r="D13" s="6">
        <f>14.1378*77000*365*1440*B13/0.693</f>
        <v>177357343771.20004</v>
      </c>
      <c r="E13" s="6">
        <f t="shared" si="1"/>
        <v>187321362.35300967</v>
      </c>
      <c r="F13" s="2">
        <v>0.4221</v>
      </c>
      <c r="G13" s="1">
        <f>F13*'weight cali'!$N$17</f>
        <v>117462077689.002</v>
      </c>
      <c r="H13" s="6">
        <f>F13*'weight cali'!$O$17</f>
        <v>105925115.87509382</v>
      </c>
      <c r="I13" s="10">
        <v>1.3303014079905273</v>
      </c>
      <c r="J13" s="10">
        <v>0.003678441713190451</v>
      </c>
      <c r="K13" s="1">
        <f t="shared" si="2"/>
        <v>156259967335.17206</v>
      </c>
      <c r="L13" s="116">
        <f t="shared" si="3"/>
        <v>454474608.7454885</v>
      </c>
      <c r="M13" s="10">
        <f t="shared" si="5"/>
        <v>0.881045938175277</v>
      </c>
      <c r="N13" s="10">
        <f t="shared" si="4"/>
        <v>0.00272620870306537</v>
      </c>
    </row>
    <row r="14" spans="1:14" ht="15">
      <c r="A14" s="36" t="s">
        <v>65</v>
      </c>
      <c r="B14" s="2">
        <v>0.21481</v>
      </c>
      <c r="C14" s="2">
        <v>0.00022687812633774955</v>
      </c>
      <c r="D14" s="6">
        <f>14.1378*77000*365*1440*B14/0.693</f>
        <v>177357343771.20004</v>
      </c>
      <c r="E14" s="6">
        <f t="shared" si="1"/>
        <v>187321362.35300967</v>
      </c>
      <c r="F14" s="2">
        <v>0.426</v>
      </c>
      <c r="G14" s="1">
        <f>F14*'weight cali'!$N$17</f>
        <v>118547370517.68504</v>
      </c>
      <c r="H14" s="6">
        <f>F14*'weight cali'!$O$17</f>
        <v>106903812.75240457</v>
      </c>
      <c r="I14" s="10">
        <v>1.3341618191709272</v>
      </c>
      <c r="J14" s="10">
        <v>0.0028890974371497146</v>
      </c>
      <c r="K14" s="1">
        <f t="shared" si="2"/>
        <v>158161375507.80463</v>
      </c>
      <c r="L14" s="116">
        <f t="shared" si="3"/>
        <v>371005682.4854068</v>
      </c>
      <c r="M14" s="10">
        <f t="shared" si="5"/>
        <v>0.8917667131497008</v>
      </c>
      <c r="N14" s="10">
        <f t="shared" si="4"/>
        <v>0.002294115546007096</v>
      </c>
    </row>
    <row r="15" spans="1:14" ht="15">
      <c r="A15" s="36" t="s">
        <v>66</v>
      </c>
      <c r="B15" s="2">
        <v>0.21481</v>
      </c>
      <c r="C15" s="2">
        <v>0.00022687812633774955</v>
      </c>
      <c r="D15" s="6">
        <f>14.1378*77000*365*1440*B15/0.693</f>
        <v>177357343771.20004</v>
      </c>
      <c r="E15" s="6">
        <f t="shared" si="1"/>
        <v>187321362.35300967</v>
      </c>
      <c r="F15" s="2">
        <v>0.4232</v>
      </c>
      <c r="G15" s="1">
        <f>F15*'weight cali'!$N$17</f>
        <v>117768185922.73312</v>
      </c>
      <c r="H15" s="6">
        <f>F15*'weight cali'!$O$17</f>
        <v>106201158.58407892</v>
      </c>
      <c r="I15" s="10">
        <v>1.3798016017851322</v>
      </c>
      <c r="J15" s="10">
        <v>0.005692635844662248</v>
      </c>
      <c r="K15" s="1">
        <f t="shared" si="2"/>
        <v>162496731575.51642</v>
      </c>
      <c r="L15" s="116">
        <f t="shared" si="3"/>
        <v>686239313.117422</v>
      </c>
      <c r="M15" s="10">
        <f t="shared" si="5"/>
        <v>0.9162109000975197</v>
      </c>
      <c r="N15" s="10">
        <f t="shared" si="4"/>
        <v>0.003988418519423449</v>
      </c>
    </row>
    <row r="16" spans="1:14" ht="15">
      <c r="A16" s="36" t="s">
        <v>67</v>
      </c>
      <c r="B16" s="2">
        <v>0.21481</v>
      </c>
      <c r="C16" s="2">
        <v>0.00022687812633774955</v>
      </c>
      <c r="D16" s="6">
        <f>14.1378*77000*365*1440*B16/0.693</f>
        <v>177357343771.20004</v>
      </c>
      <c r="E16" s="6">
        <f t="shared" si="1"/>
        <v>187321362.35300967</v>
      </c>
      <c r="F16" s="2">
        <v>0.4262</v>
      </c>
      <c r="G16" s="1">
        <f>F16*'weight cali'!$N$17</f>
        <v>118603026560.18161</v>
      </c>
      <c r="H16" s="6">
        <f>F16*'weight cali'!$O$17</f>
        <v>106954002.33585642</v>
      </c>
      <c r="I16" s="10">
        <v>1.3271943882543322</v>
      </c>
      <c r="J16" s="10">
        <v>0.0036350988618880364</v>
      </c>
      <c r="K16" s="1">
        <f t="shared" si="2"/>
        <v>157409271280.65256</v>
      </c>
      <c r="L16" s="116">
        <f t="shared" si="3"/>
        <v>453900582.231896</v>
      </c>
      <c r="M16" s="10">
        <f t="shared" si="5"/>
        <v>0.8875260980662774</v>
      </c>
      <c r="N16" s="10">
        <f t="shared" si="4"/>
        <v>0.0027255131061527742</v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G23" sqref="G23"/>
    </sheetView>
  </sheetViews>
  <sheetFormatPr defaultColWidth="9.00390625" defaultRowHeight="14.25"/>
  <sheetData>
    <row r="1" s="83" customFormat="1" ht="15.75">
      <c r="A1" s="83" t="s">
        <v>107</v>
      </c>
    </row>
    <row r="3" spans="1:3" s="83" customFormat="1" ht="15.75">
      <c r="A3" s="83" t="s">
        <v>99</v>
      </c>
      <c r="B3" s="83" t="s">
        <v>100</v>
      </c>
      <c r="C3" s="83" t="s">
        <v>101</v>
      </c>
    </row>
    <row r="4" spans="1:256" s="83" customFormat="1" ht="15.75">
      <c r="A4" s="84" t="s">
        <v>102</v>
      </c>
      <c r="B4" s="85">
        <v>0.45494788706554307</v>
      </c>
      <c r="C4" s="85">
        <v>0.007337859270473155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</row>
    <row r="5" spans="1:256" s="83" customFormat="1" ht="15.75">
      <c r="A5" s="84" t="s">
        <v>103</v>
      </c>
      <c r="B5" s="85">
        <v>0.45427419422797033</v>
      </c>
      <c r="C5" s="85">
        <v>0.007476846219301492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</row>
    <row r="6" spans="1:256" s="83" customFormat="1" ht="15.75">
      <c r="A6" s="84" t="s">
        <v>104</v>
      </c>
      <c r="B6" s="85">
        <v>0.457959288169344</v>
      </c>
      <c r="C6" s="85">
        <v>0.0076879374111948765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  <c r="IS6" s="84"/>
      <c r="IT6" s="84"/>
      <c r="IU6" s="84"/>
      <c r="IV6" s="84"/>
    </row>
    <row r="7" spans="1:256" s="83" customFormat="1" ht="15.75">
      <c r="A7" s="84" t="s">
        <v>105</v>
      </c>
      <c r="B7" s="85">
        <v>0.46316685637412525</v>
      </c>
      <c r="C7" s="85">
        <v>0.007299029586073269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83" customFormat="1" ht="15.75">
      <c r="A8" s="84" t="s">
        <v>106</v>
      </c>
      <c r="B8" s="85">
        <v>0.45427849699069184</v>
      </c>
      <c r="C8" s="85">
        <v>0.0071602879945378934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3" s="83" customFormat="1" ht="15.75">
      <c r="A9" s="82" t="s">
        <v>94</v>
      </c>
      <c r="B9" s="75">
        <v>0.4471968722347576</v>
      </c>
      <c r="C9" s="75">
        <v>0.0072230719511510895</v>
      </c>
    </row>
    <row r="10" spans="1:3" s="83" customFormat="1" ht="15.75">
      <c r="A10" s="82" t="s">
        <v>95</v>
      </c>
      <c r="B10" s="75">
        <v>0.449145751849492</v>
      </c>
      <c r="C10" s="75">
        <v>0.007399333027411381</v>
      </c>
    </row>
    <row r="11" spans="1:3" s="83" customFormat="1" ht="15.75">
      <c r="A11" s="82" t="s">
        <v>96</v>
      </c>
      <c r="B11" s="75">
        <v>0.4537788103824521</v>
      </c>
      <c r="C11" s="75">
        <v>0.007623468238859981</v>
      </c>
    </row>
    <row r="12" spans="1:3" s="83" customFormat="1" ht="15.75">
      <c r="A12" s="82" t="s">
        <v>97</v>
      </c>
      <c r="B12" s="75">
        <v>0.45768373642418503</v>
      </c>
      <c r="C12" s="75">
        <v>0.007219647777148003</v>
      </c>
    </row>
    <row r="13" spans="1:3" s="83" customFormat="1" ht="15.75">
      <c r="A13" s="82" t="s">
        <v>98</v>
      </c>
      <c r="B13" s="75">
        <v>0.44844717123323635</v>
      </c>
      <c r="C13" s="75">
        <v>0.007075747226624152</v>
      </c>
    </row>
    <row r="14" s="83" customFormat="1" ht="15.75"/>
    <row r="15" s="83" customFormat="1" ht="15.75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E1">
      <selection activeCell="K21" sqref="K21"/>
    </sheetView>
  </sheetViews>
  <sheetFormatPr defaultColWidth="9.00390625" defaultRowHeight="14.25"/>
  <cols>
    <col min="1" max="1" width="9.00390625" style="103" customWidth="1"/>
    <col min="2" max="2" width="11.50390625" style="106" customWidth="1"/>
    <col min="3" max="5" width="9.00390625" style="2" customWidth="1"/>
    <col min="6" max="6" width="9.00390625" style="1" customWidth="1"/>
    <col min="7" max="7" width="11.375" style="106" customWidth="1"/>
    <col min="8" max="8" width="11.25390625" style="6" customWidth="1"/>
    <col min="9" max="9" width="11.75390625" style="9" customWidth="1"/>
    <col min="10" max="10" width="9.00390625" style="1" customWidth="1"/>
    <col min="11" max="12" width="9.375" style="1" bestFit="1" customWidth="1"/>
    <col min="13" max="13" width="9.00390625" style="1" customWidth="1"/>
    <col min="14" max="14" width="15.125" style="1" customWidth="1"/>
    <col min="15" max="15" width="9.375" style="1" bestFit="1" customWidth="1"/>
    <col min="16" max="16" width="11.00390625" style="9" customWidth="1"/>
    <col min="17" max="17" width="9.00390625" style="10" customWidth="1"/>
    <col min="18" max="16384" width="9.00390625" style="1" customWidth="1"/>
  </cols>
  <sheetData>
    <row r="1" spans="1:14" ht="15">
      <c r="A1" s="110" t="s">
        <v>130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7" s="113" customFormat="1" ht="18">
      <c r="A2" s="112" t="s">
        <v>131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P2" s="114"/>
      <c r="Q2" s="115"/>
    </row>
    <row r="3" spans="1:17" s="59" customFormat="1" ht="18">
      <c r="A3" s="99" t="s">
        <v>132</v>
      </c>
      <c r="B3" s="100"/>
      <c r="C3" s="101"/>
      <c r="D3" s="101"/>
      <c r="E3" s="101"/>
      <c r="G3" s="100"/>
      <c r="H3" s="102"/>
      <c r="I3" s="61"/>
      <c r="P3" s="61"/>
      <c r="Q3" s="60"/>
    </row>
    <row r="4" spans="1:17" s="120" customFormat="1" ht="18">
      <c r="A4" s="117" t="s">
        <v>133</v>
      </c>
      <c r="B4" s="118"/>
      <c r="C4" s="119"/>
      <c r="D4" s="119"/>
      <c r="E4" s="119"/>
      <c r="G4" s="118"/>
      <c r="H4" s="121"/>
      <c r="I4" s="122"/>
      <c r="P4" s="122"/>
      <c r="Q4" s="123"/>
    </row>
    <row r="5" spans="1:17" ht="18">
      <c r="A5" s="103" t="s">
        <v>110</v>
      </c>
      <c r="B5" s="104" t="s">
        <v>111</v>
      </c>
      <c r="D5" s="104" t="s">
        <v>111</v>
      </c>
      <c r="G5" s="104" t="s">
        <v>112</v>
      </c>
      <c r="H5" s="105" t="s">
        <v>112</v>
      </c>
      <c r="I5" s="8" t="s">
        <v>113</v>
      </c>
      <c r="J5" s="1" t="s">
        <v>114</v>
      </c>
      <c r="K5" s="4" t="s">
        <v>115</v>
      </c>
      <c r="L5" s="1" t="s">
        <v>116</v>
      </c>
      <c r="M5" s="4" t="s">
        <v>117</v>
      </c>
      <c r="N5" s="4" t="s">
        <v>118</v>
      </c>
      <c r="O5" s="1" t="s">
        <v>116</v>
      </c>
      <c r="P5" s="8" t="s">
        <v>119</v>
      </c>
      <c r="Q5" s="10" t="s">
        <v>116</v>
      </c>
    </row>
    <row r="6" spans="1:17" ht="15">
      <c r="A6" s="103">
        <v>1</v>
      </c>
      <c r="B6" s="99">
        <v>1.0725</v>
      </c>
      <c r="D6" s="117">
        <v>0.2149</v>
      </c>
      <c r="F6" s="110" t="s">
        <v>120</v>
      </c>
      <c r="G6" s="106">
        <v>1.0684</v>
      </c>
      <c r="H6" s="6">
        <f>G6*14.1378*77000*365*1440/0.693</f>
        <v>882121810368.0001</v>
      </c>
      <c r="I6" s="10">
        <v>2.981312769723452</v>
      </c>
      <c r="J6" s="16">
        <f>0.000711584222035163*100</f>
        <v>0.0711584222035163</v>
      </c>
      <c r="K6" s="6">
        <f>H6/I6</f>
        <v>295883685645.5776</v>
      </c>
      <c r="L6" s="6">
        <f>K6*J6/100</f>
        <v>210546162.26300502</v>
      </c>
      <c r="M6" s="2">
        <v>1.0614</v>
      </c>
      <c r="N6" s="6">
        <f>K6/M6</f>
        <v>278767369178.0456</v>
      </c>
      <c r="O6" s="6">
        <f>L6/M6</f>
        <v>198366461.52534863</v>
      </c>
      <c r="P6" s="9">
        <f>N6*0.693/(7340*365*1440)</f>
        <v>50.07532246535569</v>
      </c>
      <c r="Q6" s="10">
        <f>O6/N6*P6</f>
        <v>0.03563280937967005</v>
      </c>
    </row>
    <row r="7" spans="1:17" ht="15">
      <c r="A7" s="103">
        <v>2</v>
      </c>
      <c r="B7" s="99">
        <v>1.0719</v>
      </c>
      <c r="D7" s="117">
        <v>0.2148</v>
      </c>
      <c r="F7" s="110" t="s">
        <v>121</v>
      </c>
      <c r="G7" s="106">
        <v>1.0646</v>
      </c>
      <c r="H7" s="6">
        <f aca="true" t="shared" si="0" ref="H7:H16">G7*14.1378*77000*365*1440/0.693</f>
        <v>878984349792.0001</v>
      </c>
      <c r="I7" s="10">
        <v>2.9640811148589683</v>
      </c>
      <c r="J7" s="16">
        <f>100*0.000851933802212937</f>
        <v>0.08519338022129369</v>
      </c>
      <c r="K7" s="6">
        <f>H7/I7</f>
        <v>296545308893.75555</v>
      </c>
      <c r="L7" s="6">
        <f>K7*J7/100</f>
        <v>252636972.534267</v>
      </c>
      <c r="M7" s="2">
        <v>1.061</v>
      </c>
      <c r="N7" s="6">
        <f>K7/M7</f>
        <v>279496049852.7385</v>
      </c>
      <c r="O7" s="6">
        <f>L7/M7</f>
        <v>238112132.45454007</v>
      </c>
      <c r="P7" s="9">
        <f>N7*0.693/(7340*365*1440)</f>
        <v>50.20621626353268</v>
      </c>
      <c r="Q7" s="10">
        <f>O7/N7*P7</f>
        <v>0.042772372716116384</v>
      </c>
    </row>
    <row r="8" spans="1:17" ht="15">
      <c r="A8" s="103">
        <v>3</v>
      </c>
      <c r="B8" s="99">
        <v>1.0715</v>
      </c>
      <c r="D8" s="117">
        <v>0.2144</v>
      </c>
      <c r="F8" s="110" t="s">
        <v>122</v>
      </c>
      <c r="G8" s="106">
        <v>1.0645</v>
      </c>
      <c r="H8" s="6">
        <f t="shared" si="0"/>
        <v>878901785040</v>
      </c>
      <c r="I8" s="10">
        <v>2.9661775780880646</v>
      </c>
      <c r="J8" s="16">
        <f>100*0.00122741578946527</f>
        <v>0.122741578946527</v>
      </c>
      <c r="K8" s="6">
        <f>H8/I8</f>
        <v>296307878372.71747</v>
      </c>
      <c r="L8" s="6">
        <f>K8*J8/100</f>
        <v>363692968.45762825</v>
      </c>
      <c r="M8" s="2">
        <v>1.0616</v>
      </c>
      <c r="N8" s="6">
        <f>K8/M8</f>
        <v>279114429514.617</v>
      </c>
      <c r="O8" s="6">
        <f>L8/M8</f>
        <v>342589457.8538321</v>
      </c>
      <c r="P8" s="9">
        <f>N8*0.693/(7340*365*1440)</f>
        <v>50.13766533683305</v>
      </c>
      <c r="Q8" s="10">
        <f>O8/N8*P8</f>
        <v>0.061539762081354456</v>
      </c>
    </row>
    <row r="9" spans="1:17" ht="15">
      <c r="A9" s="103">
        <v>4</v>
      </c>
      <c r="B9" s="99">
        <v>1.0727</v>
      </c>
      <c r="D9" s="117">
        <v>0.2149</v>
      </c>
      <c r="F9" s="110" t="s">
        <v>123</v>
      </c>
      <c r="G9" s="106">
        <v>1.0645</v>
      </c>
      <c r="H9" s="6">
        <f t="shared" si="0"/>
        <v>878901785040</v>
      </c>
      <c r="I9" s="10">
        <v>2.9703709340613416</v>
      </c>
      <c r="J9" s="16">
        <f>100*0.000721388031120081</f>
        <v>0.0721388031120081</v>
      </c>
      <c r="K9" s="6">
        <f>H9/I9</f>
        <v>295889572228.7086</v>
      </c>
      <c r="L9" s="6">
        <f>K9*J9/100</f>
        <v>213451195.9390311</v>
      </c>
      <c r="M9" s="2">
        <v>1.0619</v>
      </c>
      <c r="N9" s="6">
        <f>K9/M9</f>
        <v>278641653855.0792</v>
      </c>
      <c r="O9" s="6">
        <f>L9/M9</f>
        <v>201008754.0625587</v>
      </c>
      <c r="P9" s="9">
        <f>N9*0.693/(7340*365*1440)</f>
        <v>50.05274006858903</v>
      </c>
      <c r="Q9" s="10">
        <f>O9/N9*P9</f>
        <v>0.036107447610244627</v>
      </c>
    </row>
    <row r="10" spans="1:17" ht="15">
      <c r="A10" s="103">
        <v>5</v>
      </c>
      <c r="B10" s="99">
        <v>1.0728</v>
      </c>
      <c r="D10" s="117">
        <v>0.2143</v>
      </c>
      <c r="F10" s="110" t="s">
        <v>124</v>
      </c>
      <c r="G10" s="106">
        <v>1.0626</v>
      </c>
      <c r="H10" s="6">
        <f t="shared" si="0"/>
        <v>877333054752</v>
      </c>
      <c r="I10" s="10">
        <v>2.9833709075628114</v>
      </c>
      <c r="J10" s="16">
        <f>100*0.000845809646468993</f>
        <v>0.0845809646468993</v>
      </c>
      <c r="K10" s="6">
        <f>H10/I10</f>
        <v>294074415128.19293</v>
      </c>
      <c r="L10" s="6">
        <f>K10*J10/100</f>
        <v>248730977.09515277</v>
      </c>
      <c r="M10" s="2">
        <v>1.0607</v>
      </c>
      <c r="N10" s="6">
        <f>K10/M10</f>
        <v>277245606795.6943</v>
      </c>
      <c r="O10" s="6">
        <f>L10/M10</f>
        <v>234497008.66894764</v>
      </c>
      <c r="P10" s="9">
        <f>N10*0.693/(7340*365*1440)</f>
        <v>49.80196643291697</v>
      </c>
      <c r="Q10" s="10">
        <f>O10/N10*P10</f>
        <v>0.04212298362208616</v>
      </c>
    </row>
    <row r="11" spans="1:15" ht="15">
      <c r="A11" s="103">
        <v>6</v>
      </c>
      <c r="B11" s="99">
        <v>1.0729</v>
      </c>
      <c r="D11" s="117">
        <v>0.2147</v>
      </c>
      <c r="I11" s="10"/>
      <c r="J11" s="16"/>
      <c r="M11" s="2"/>
      <c r="N11" s="107">
        <f>AVERAGE(N6:N10)</f>
        <v>278653021839.235</v>
      </c>
      <c r="O11" s="107">
        <f>AVERAGE(O6:O10)</f>
        <v>242914762.91304547</v>
      </c>
    </row>
    <row r="12" spans="1:17" ht="15">
      <c r="A12" s="103">
        <v>7</v>
      </c>
      <c r="B12" s="99">
        <v>1.0719</v>
      </c>
      <c r="D12" s="117">
        <v>0.2148</v>
      </c>
      <c r="F12" s="110" t="s">
        <v>125</v>
      </c>
      <c r="G12" s="106">
        <v>1.064</v>
      </c>
      <c r="H12" s="6">
        <f t="shared" si="0"/>
        <v>878488961280.0001</v>
      </c>
      <c r="I12" s="10">
        <v>2.9773526221593403</v>
      </c>
      <c r="J12" s="16">
        <f>100*0.000728743537042345</f>
        <v>0.07287435370423449</v>
      </c>
      <c r="K12" s="6">
        <f>H12/I12</f>
        <v>295057076794.2399</v>
      </c>
      <c r="L12" s="6">
        <f>K12*J12/100</f>
        <v>215020937.7724092</v>
      </c>
      <c r="M12" s="2">
        <v>1.0611</v>
      </c>
      <c r="N12" s="6">
        <f>K12/M12</f>
        <v>278067172551.3523</v>
      </c>
      <c r="O12" s="6">
        <f>L12/M12</f>
        <v>202639654.86043653</v>
      </c>
      <c r="P12" s="9">
        <f>N12*0.693/(7340*365*1440)</f>
        <v>49.94954529145544</v>
      </c>
      <c r="Q12" s="10">
        <f>O12/N12*P12</f>
        <v>0.036400408309352046</v>
      </c>
    </row>
    <row r="13" spans="1:17" ht="15">
      <c r="A13" s="103">
        <v>8</v>
      </c>
      <c r="B13" s="99">
        <v>1.0721</v>
      </c>
      <c r="D13" s="117">
        <v>0.2145</v>
      </c>
      <c r="F13" s="110" t="s">
        <v>126</v>
      </c>
      <c r="G13" s="106">
        <v>1.0654</v>
      </c>
      <c r="H13" s="6">
        <f t="shared" si="0"/>
        <v>879644867808</v>
      </c>
      <c r="I13" s="10">
        <v>2.9720244923003993</v>
      </c>
      <c r="J13" s="16">
        <f>100*0.00072047653087396</f>
        <v>0.072047653087396</v>
      </c>
      <c r="K13" s="6">
        <f>H13/I13</f>
        <v>295974972644.7037</v>
      </c>
      <c r="L13" s="6">
        <f>K13*J13/100</f>
        <v>213243021.5165713</v>
      </c>
      <c r="M13" s="2">
        <v>1.0623</v>
      </c>
      <c r="N13" s="6">
        <f>K13/M13</f>
        <v>278617125712.79645</v>
      </c>
      <c r="O13" s="6">
        <f>L13/M13</f>
        <v>200737100.1756296</v>
      </c>
      <c r="P13" s="9">
        <f>N13*0.693/(7340*365*1440)</f>
        <v>50.04833404848019</v>
      </c>
      <c r="Q13" s="10">
        <f>O13/N13*P13</f>
        <v>0.0360586500912701</v>
      </c>
    </row>
    <row r="14" spans="1:17" ht="15">
      <c r="A14" s="103">
        <v>9</v>
      </c>
      <c r="B14" s="99">
        <v>1.0718</v>
      </c>
      <c r="D14" s="117">
        <v>0.2151</v>
      </c>
      <c r="F14" s="110" t="s">
        <v>127</v>
      </c>
      <c r="G14" s="106">
        <v>1.0637</v>
      </c>
      <c r="H14" s="6">
        <f t="shared" si="0"/>
        <v>878241267024.0004</v>
      </c>
      <c r="I14" s="10">
        <v>2.978248417663084</v>
      </c>
      <c r="J14" s="16">
        <f>100*0.00159442261512257</f>
        <v>0.159442261512257</v>
      </c>
      <c r="K14" s="6">
        <f>H14/I14</f>
        <v>294885161968.16187</v>
      </c>
      <c r="L14" s="6">
        <f>K14*J14/100</f>
        <v>470171571.1061192</v>
      </c>
      <c r="M14" s="2">
        <v>1.0596</v>
      </c>
      <c r="N14" s="6">
        <f>K14/M14</f>
        <v>278298567353.8711</v>
      </c>
      <c r="O14" s="6">
        <f>L14/M14</f>
        <v>443725529.54522383</v>
      </c>
      <c r="P14" s="9">
        <f>N14*0.693/(7340*365*1440)</f>
        <v>49.99111102200383</v>
      </c>
      <c r="Q14" s="10">
        <f>O14/N14*P14</f>
        <v>0.07970695796858607</v>
      </c>
    </row>
    <row r="15" spans="1:17" ht="15">
      <c r="A15" s="103">
        <v>10</v>
      </c>
      <c r="B15" s="99">
        <v>1.072</v>
      </c>
      <c r="D15" s="117">
        <v>0.2149</v>
      </c>
      <c r="F15" s="110" t="s">
        <v>128</v>
      </c>
      <c r="G15" s="106">
        <v>1.0673</v>
      </c>
      <c r="H15" s="6">
        <f t="shared" si="0"/>
        <v>881213598096</v>
      </c>
      <c r="I15" s="10">
        <v>2.9928474655484067</v>
      </c>
      <c r="J15" s="16">
        <f>100*0.00090312966053424</f>
        <v>0.090312966053424</v>
      </c>
      <c r="K15" s="6">
        <f>H15/I15</f>
        <v>294439863120.29675</v>
      </c>
      <c r="L15" s="6">
        <f>K15*J15/100</f>
        <v>265917373.6275817</v>
      </c>
      <c r="M15" s="2">
        <v>1.0611</v>
      </c>
      <c r="N15" s="6">
        <f>K15/M15</f>
        <v>277485499123.8307</v>
      </c>
      <c r="O15" s="6">
        <f>L15/M15</f>
        <v>250605384.62687936</v>
      </c>
      <c r="P15" s="9">
        <f>N15*0.693/(7340*365*1440)</f>
        <v>49.84505858435427</v>
      </c>
      <c r="Q15" s="10">
        <f>O15/N15*P15</f>
        <v>0.04501655083859718</v>
      </c>
    </row>
    <row r="16" spans="1:17" ht="15">
      <c r="A16" s="103">
        <v>11</v>
      </c>
      <c r="B16" s="99">
        <v>1.0727</v>
      </c>
      <c r="D16" s="117">
        <v>0.2147</v>
      </c>
      <c r="F16" s="110" t="s">
        <v>129</v>
      </c>
      <c r="G16" s="106">
        <v>1.0646</v>
      </c>
      <c r="H16" s="6">
        <f t="shared" si="0"/>
        <v>878984349792.0001</v>
      </c>
      <c r="I16" s="10">
        <v>2.9417865057842687</v>
      </c>
      <c r="J16" s="16">
        <f>100*0.000562974217071351</f>
        <v>0.056297421707135094</v>
      </c>
      <c r="K16" s="6">
        <f>H16/I16</f>
        <v>298792705746.56006</v>
      </c>
      <c r="L16" s="6">
        <f>K16*J16/100</f>
        <v>168212589.5843002</v>
      </c>
      <c r="M16" s="2">
        <v>1.0712</v>
      </c>
      <c r="N16" s="6">
        <f>K16/M16</f>
        <v>278932697672.29285</v>
      </c>
      <c r="O16" s="6">
        <f>L16/M16</f>
        <v>157031917.08765888</v>
      </c>
      <c r="P16" s="9">
        <f>N16*0.693/(7340*365*1440)</f>
        <v>50.105020624385396</v>
      </c>
      <c r="Q16" s="10">
        <f>O16/N16*P16</f>
        <v>0.028207834757357254</v>
      </c>
    </row>
    <row r="17" spans="1:15" ht="15">
      <c r="A17" s="103">
        <v>12</v>
      </c>
      <c r="B17" s="99">
        <v>1.0726</v>
      </c>
      <c r="D17" s="117">
        <v>0.215</v>
      </c>
      <c r="N17" s="107">
        <f>AVERAGE(N12:N16)</f>
        <v>278280212482.82874</v>
      </c>
      <c r="O17" s="107">
        <f>AVERAGE(O12:O16)</f>
        <v>250947917.25916567</v>
      </c>
    </row>
    <row r="18" spans="1:4" ht="15">
      <c r="A18" s="103">
        <v>13</v>
      </c>
      <c r="B18" s="99">
        <v>1.0726</v>
      </c>
      <c r="D18" s="117">
        <v>0.215</v>
      </c>
    </row>
    <row r="19" spans="1:4" ht="15">
      <c r="A19" s="103">
        <v>14</v>
      </c>
      <c r="B19" s="99">
        <v>1.0711</v>
      </c>
      <c r="D19" s="117">
        <v>0.2149</v>
      </c>
    </row>
    <row r="20" spans="1:8" ht="15">
      <c r="A20" s="103">
        <v>15</v>
      </c>
      <c r="B20" s="99">
        <v>1.0723</v>
      </c>
      <c r="D20" s="117">
        <v>0.2146</v>
      </c>
      <c r="H20" s="9"/>
    </row>
    <row r="21" spans="1:4" ht="15">
      <c r="A21" s="103">
        <v>16</v>
      </c>
      <c r="B21" s="99">
        <v>1.0719</v>
      </c>
      <c r="D21" s="117">
        <v>0.2151</v>
      </c>
    </row>
    <row r="22" spans="1:4" ht="15">
      <c r="A22" s="103">
        <v>17</v>
      </c>
      <c r="B22" s="99">
        <v>1.0718</v>
      </c>
      <c r="D22" s="117">
        <v>0.2151</v>
      </c>
    </row>
    <row r="23" spans="1:4" ht="15">
      <c r="A23" s="103">
        <v>18</v>
      </c>
      <c r="B23" s="99">
        <v>1.0721</v>
      </c>
      <c r="D23" s="117">
        <v>0.2149</v>
      </c>
    </row>
    <row r="24" spans="1:4" ht="15">
      <c r="A24" s="103">
        <v>19</v>
      </c>
      <c r="B24" s="99">
        <v>1.0727</v>
      </c>
      <c r="D24" s="117">
        <v>0.2147</v>
      </c>
    </row>
    <row r="25" spans="1:4" ht="15">
      <c r="A25" s="103">
        <v>20</v>
      </c>
      <c r="B25" s="99">
        <v>1.0715</v>
      </c>
      <c r="D25" s="117">
        <v>0.2149</v>
      </c>
    </row>
    <row r="26" spans="2:5" ht="15">
      <c r="B26" s="108">
        <f>AVERAGE(B6:B25)</f>
        <v>1.0721699999999998</v>
      </c>
      <c r="C26" s="109">
        <f>STDEV(B6:B25)</f>
        <v>0.0005048188836237785</v>
      </c>
      <c r="D26" s="108">
        <f>AVERAGE(D6:D25)</f>
        <v>0.21481</v>
      </c>
      <c r="E26" s="109">
        <f>STDEV(D6:D25)</f>
        <v>0.00022687812633774955</v>
      </c>
    </row>
    <row r="27" ht="15"/>
    <row r="28" ht="1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QQHong</dc:creator>
  <cp:keywords/>
  <dc:description/>
  <cp:lastModifiedBy>QQHong</cp:lastModifiedBy>
  <dcterms:created xsi:type="dcterms:W3CDTF">2007-09-11T10:23:25Z</dcterms:created>
  <dcterms:modified xsi:type="dcterms:W3CDTF">2015-07-27T09:15:00Z</dcterms:modified>
  <cp:category/>
  <cp:version/>
  <cp:contentType/>
  <cp:contentStatus/>
</cp:coreProperties>
</file>